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omments4.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hidePivotFieldList="1" autoCompressPictures="0" defaultThemeVersion="124226"/>
  <mc:AlternateContent xmlns:mc="http://schemas.openxmlformats.org/markup-compatibility/2006">
    <mc:Choice Requires="x15">
      <x15ac:absPath xmlns:x15ac="http://schemas.microsoft.com/office/spreadsheetml/2010/11/ac" url="I:\DataExchange\DE2018-19\Summary Data\"/>
    </mc:Choice>
  </mc:AlternateContent>
  <xr:revisionPtr revIDLastSave="0" documentId="13_ncr:1_{216D5136-B387-497D-91AD-D5D6620AEEC2}" xr6:coauthVersionLast="45" xr6:coauthVersionMax="45" xr10:uidLastSave="{00000000-0000-0000-0000-000000000000}"/>
  <bookViews>
    <workbookView xWindow="28680" yWindow="-120" windowWidth="29040" windowHeight="15840" xr2:uid="{00000000-000D-0000-FFFF-FFFF00000000}"/>
  </bookViews>
  <sheets>
    <sheet name="NEW...Tables 87-90" sheetId="20" r:id="rId1"/>
    <sheet name="OLD...Tables" sheetId="19" r:id="rId2"/>
    <sheet name="NEW...Tables 91-112" sheetId="18" r:id="rId3"/>
    <sheet name="OLD...Tabs" sheetId="17" r:id="rId4"/>
    <sheet name="Pivot Table for Data Exchange" sheetId="15" r:id="rId5"/>
    <sheet name="05InstructionTypes" sheetId="1" r:id="rId6"/>
    <sheet name="Format for DE pivot" sheetId="12" r:id="rId7"/>
    <sheet name="Summary Table for Fact Book" sheetId="16" r:id="rId8"/>
    <sheet name="Pivot Table for Fact Book" sheetId="14" r:id="rId9"/>
    <sheet name="Format for FB Pivot Tab" sheetId="13" r:id="rId10"/>
  </sheets>
  <definedNames>
    <definedName name="_xlnm.Print_Area" localSheetId="0">'NEW...Tables 87-90'!$A$1:$P$116</definedName>
    <definedName name="_xlnm.Print_Area" localSheetId="2">'NEW...Tables 91-112'!$A$1:$P$461</definedName>
    <definedName name="_xlnm.Print_Area" localSheetId="1">'OLD...Tables'!$A$1:$P$113</definedName>
    <definedName name="_xlnm.Print_Area" localSheetId="3">'OLD...Tabs'!$A$1:$P$461</definedName>
    <definedName name="Type13gr1_1" localSheetId="5">'05InstructionTypes'!$W$47:$W$132</definedName>
    <definedName name="Type13gr1_2" localSheetId="5">'05InstructionTypes'!$W$47:$W$132</definedName>
    <definedName name="Type13gr2_1" localSheetId="5">'05InstructionTypes'!$Y$47:$Y$132</definedName>
    <definedName name="Type13gr2_2" localSheetId="5">'05InstructionTypes'!$Y$47:$Y$132</definedName>
    <definedName name="Type13gr3_1" localSheetId="5">'05InstructionTypes'!$AC$47:$AC$132</definedName>
    <definedName name="Type13gr3_2" localSheetId="5">'05InstructionTypes'!$AC$47:$AC$132</definedName>
    <definedName name="Type13gr4_1" localSheetId="5">'05InstructionTypes'!$AD$47:$AD$132</definedName>
    <definedName name="Type13gr4_2" localSheetId="5">'05InstructionTypes'!$AD$47:$AD$132</definedName>
    <definedName name="Type13gr5_2" localSheetId="5">'05InstructionTypes'!$AE$47:$AE$132</definedName>
    <definedName name="Type13gr5_3" localSheetId="5">'05InstructionTypes'!$AE$47:$AE$132</definedName>
    <definedName name="Type13ug1_1" localSheetId="5">'05InstructionTypes'!$I$47:$I$132</definedName>
    <definedName name="Type13ug1_2" localSheetId="5">'05InstructionTypes'!$I$47:$I$132</definedName>
    <definedName name="Type13ug2_1" localSheetId="5">'05InstructionTypes'!$K$47:$K$132</definedName>
    <definedName name="Type13ug2_2" localSheetId="5">'05InstructionTypes'!$K$47:$K$132</definedName>
    <definedName name="Type13ug3_1" localSheetId="5">'05InstructionTypes'!$O$47:$O$132</definedName>
    <definedName name="Type13ug3_2" localSheetId="5">'05InstructionTypes'!$O$47:$O$132</definedName>
    <definedName name="Type13ug4_1" localSheetId="5">'05InstructionTypes'!$P$47:$P$132</definedName>
    <definedName name="Type13ug4_2" localSheetId="5">'05InstructionTypes'!$P$47:$P$132</definedName>
    <definedName name="Type13ug5_1" localSheetId="5">'05InstructionTypes'!$Q$47:$Q$132</definedName>
    <definedName name="Type13ug5_2" localSheetId="5">'05InstructionTypes'!$Q$47:$Q$132</definedName>
  </definedNames>
  <calcPr calcId="191029"/>
  <pivotCaches>
    <pivotCache cacheId="2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U644" i="1" l="1"/>
  <c r="T644" i="1"/>
  <c r="G644" i="1"/>
  <c r="F644" i="1"/>
  <c r="U643" i="1"/>
  <c r="T643" i="1"/>
  <c r="G643" i="1"/>
  <c r="F643" i="1"/>
  <c r="U642" i="1"/>
  <c r="T642" i="1"/>
  <c r="G642" i="1"/>
  <c r="F642" i="1"/>
  <c r="U641" i="1"/>
  <c r="T641" i="1"/>
  <c r="G641" i="1"/>
  <c r="F641" i="1"/>
  <c r="U640" i="1"/>
  <c r="T640" i="1"/>
  <c r="G640" i="1"/>
  <c r="F640" i="1"/>
  <c r="U639" i="1"/>
  <c r="T639" i="1"/>
  <c r="G639" i="1"/>
  <c r="F639" i="1"/>
  <c r="U638" i="1"/>
  <c r="T638" i="1"/>
  <c r="G638" i="1"/>
  <c r="F638" i="1"/>
  <c r="U637" i="1"/>
  <c r="T637" i="1"/>
  <c r="G637" i="1"/>
  <c r="F637" i="1"/>
  <c r="U636" i="1"/>
  <c r="T636" i="1"/>
  <c r="G636" i="1"/>
  <c r="F636" i="1"/>
  <c r="U635" i="1"/>
  <c r="T635" i="1"/>
  <c r="G635" i="1"/>
  <c r="F635" i="1"/>
  <c r="U634" i="1"/>
  <c r="T634" i="1"/>
  <c r="G634" i="1"/>
  <c r="F634" i="1"/>
  <c r="U633" i="1"/>
  <c r="T633" i="1"/>
  <c r="G633" i="1"/>
  <c r="F633" i="1"/>
  <c r="U632" i="1"/>
  <c r="T632" i="1"/>
  <c r="G632" i="1"/>
  <c r="F632" i="1"/>
  <c r="U631" i="1"/>
  <c r="T631" i="1"/>
  <c r="G631" i="1"/>
  <c r="F631" i="1"/>
  <c r="U630" i="1"/>
  <c r="T630" i="1"/>
  <c r="G630" i="1"/>
  <c r="F630" i="1"/>
  <c r="U629" i="1"/>
  <c r="T629" i="1"/>
  <c r="G629" i="1"/>
  <c r="F629" i="1"/>
  <c r="U628" i="1"/>
  <c r="T628" i="1"/>
  <c r="G628" i="1"/>
  <c r="F628" i="1"/>
  <c r="U627" i="1"/>
  <c r="T627" i="1"/>
  <c r="G627" i="1"/>
  <c r="F627" i="1"/>
  <c r="U626" i="1"/>
  <c r="T626" i="1"/>
  <c r="G626" i="1"/>
  <c r="F626" i="1"/>
  <c r="U625" i="1"/>
  <c r="T625" i="1"/>
  <c r="G625" i="1"/>
  <c r="F625" i="1"/>
  <c r="U624" i="1"/>
  <c r="T624" i="1"/>
  <c r="G624" i="1"/>
  <c r="F624" i="1"/>
  <c r="U623" i="1"/>
  <c r="T623" i="1"/>
  <c r="G623" i="1"/>
  <c r="F623" i="1"/>
  <c r="U622" i="1"/>
  <c r="T622" i="1"/>
  <c r="G622" i="1"/>
  <c r="F622" i="1"/>
  <c r="U621" i="1"/>
  <c r="T621" i="1"/>
  <c r="G621" i="1"/>
  <c r="F621" i="1"/>
  <c r="U620" i="1"/>
  <c r="T620" i="1"/>
  <c r="G620" i="1"/>
  <c r="F620" i="1"/>
  <c r="U619" i="1"/>
  <c r="T619" i="1"/>
  <c r="G619" i="1"/>
  <c r="F619" i="1"/>
  <c r="U618" i="1"/>
  <c r="T618" i="1"/>
  <c r="G618" i="1"/>
  <c r="F618" i="1"/>
  <c r="U617" i="1"/>
  <c r="T617" i="1"/>
  <c r="G617" i="1"/>
  <c r="F617" i="1"/>
  <c r="U616" i="1"/>
  <c r="T616" i="1"/>
  <c r="G616" i="1"/>
  <c r="F616" i="1"/>
  <c r="U615" i="1"/>
  <c r="T615" i="1"/>
  <c r="G615" i="1"/>
  <c r="F615" i="1"/>
  <c r="U614" i="1"/>
  <c r="T614" i="1"/>
  <c r="G614" i="1"/>
  <c r="F614" i="1"/>
  <c r="U613" i="1"/>
  <c r="T613" i="1"/>
  <c r="G613" i="1"/>
  <c r="F613" i="1"/>
  <c r="U612" i="1"/>
  <c r="T612" i="1"/>
  <c r="G612" i="1"/>
  <c r="F612" i="1"/>
  <c r="U611" i="1"/>
  <c r="T611" i="1"/>
  <c r="G611" i="1"/>
  <c r="F611" i="1"/>
  <c r="U610" i="1"/>
  <c r="T610" i="1"/>
  <c r="G610" i="1"/>
  <c r="F610" i="1"/>
  <c r="U609" i="1"/>
  <c r="T609" i="1"/>
  <c r="G609" i="1"/>
  <c r="F609" i="1"/>
  <c r="U608" i="1"/>
  <c r="T608" i="1"/>
  <c r="G608" i="1"/>
  <c r="F608" i="1"/>
  <c r="U607" i="1"/>
  <c r="T607" i="1"/>
  <c r="G607" i="1"/>
  <c r="F607" i="1"/>
  <c r="U606" i="1"/>
  <c r="T606" i="1"/>
  <c r="G606" i="1"/>
  <c r="F606" i="1"/>
  <c r="U605" i="1"/>
  <c r="T605" i="1"/>
  <c r="G605" i="1"/>
  <c r="F605" i="1"/>
  <c r="U604" i="1"/>
  <c r="T604" i="1"/>
  <c r="G604" i="1"/>
  <c r="F604" i="1"/>
  <c r="U603" i="1"/>
  <c r="T603" i="1"/>
  <c r="G603" i="1"/>
  <c r="F603" i="1"/>
  <c r="U602" i="1"/>
  <c r="T602" i="1"/>
  <c r="G602" i="1"/>
  <c r="F602" i="1"/>
  <c r="U601" i="1"/>
  <c r="T601" i="1"/>
  <c r="G601" i="1"/>
  <c r="F601" i="1"/>
  <c r="U600" i="1"/>
  <c r="T600" i="1"/>
  <c r="G600" i="1"/>
  <c r="F600" i="1"/>
  <c r="U599" i="1"/>
  <c r="T599" i="1"/>
  <c r="G599" i="1"/>
  <c r="F599" i="1"/>
  <c r="U598" i="1"/>
  <c r="T598" i="1"/>
  <c r="G598" i="1"/>
  <c r="F598" i="1"/>
  <c r="U597" i="1"/>
  <c r="T597" i="1"/>
  <c r="G597" i="1"/>
  <c r="F597" i="1"/>
  <c r="U596" i="1"/>
  <c r="T596" i="1"/>
  <c r="G596" i="1"/>
  <c r="F596" i="1"/>
  <c r="U595" i="1"/>
  <c r="T595" i="1"/>
  <c r="G595" i="1"/>
  <c r="F595" i="1"/>
  <c r="U594" i="1"/>
  <c r="T594" i="1"/>
  <c r="G594" i="1"/>
  <c r="F594" i="1"/>
  <c r="U593" i="1"/>
  <c r="T593" i="1"/>
  <c r="G593" i="1"/>
  <c r="F593" i="1"/>
  <c r="U592" i="1"/>
  <c r="T592" i="1"/>
  <c r="G592" i="1"/>
  <c r="F592" i="1"/>
  <c r="U591" i="1"/>
  <c r="T591" i="1"/>
  <c r="G591" i="1"/>
  <c r="F591" i="1"/>
  <c r="U590" i="1"/>
  <c r="T590" i="1"/>
  <c r="G590" i="1"/>
  <c r="F590" i="1"/>
  <c r="U589" i="1"/>
  <c r="T589" i="1"/>
  <c r="G589" i="1"/>
  <c r="F589" i="1"/>
  <c r="U588" i="1"/>
  <c r="T588" i="1"/>
  <c r="G588" i="1"/>
  <c r="F588" i="1"/>
  <c r="U587" i="1"/>
  <c r="T587" i="1"/>
  <c r="G587" i="1"/>
  <c r="F587" i="1"/>
  <c r="U586" i="1"/>
  <c r="T586" i="1"/>
  <c r="G586" i="1"/>
  <c r="F586" i="1"/>
  <c r="U585" i="1"/>
  <c r="T585" i="1"/>
  <c r="G585" i="1"/>
  <c r="F585" i="1"/>
  <c r="U584" i="1"/>
  <c r="T584" i="1"/>
  <c r="G584" i="1"/>
  <c r="F584" i="1"/>
  <c r="U583" i="1"/>
  <c r="T583" i="1"/>
  <c r="G583" i="1"/>
  <c r="F583" i="1"/>
  <c r="U582" i="1"/>
  <c r="T582" i="1"/>
  <c r="G582" i="1"/>
  <c r="F582" i="1"/>
  <c r="U581" i="1"/>
  <c r="T581" i="1"/>
  <c r="G581" i="1"/>
  <c r="F581" i="1"/>
  <c r="U580" i="1"/>
  <c r="T580" i="1"/>
  <c r="G580" i="1"/>
  <c r="F580" i="1"/>
  <c r="U579" i="1"/>
  <c r="T579" i="1"/>
  <c r="G579" i="1"/>
  <c r="F579" i="1"/>
  <c r="U578" i="1"/>
  <c r="T578" i="1"/>
  <c r="G578" i="1"/>
  <c r="F578" i="1"/>
  <c r="U577" i="1"/>
  <c r="T577" i="1"/>
  <c r="G577" i="1"/>
  <c r="F577" i="1"/>
  <c r="U576" i="1"/>
  <c r="T576" i="1"/>
  <c r="G576" i="1"/>
  <c r="F576" i="1"/>
  <c r="U575" i="1"/>
  <c r="T575" i="1"/>
  <c r="G575" i="1"/>
  <c r="F575" i="1"/>
  <c r="U574" i="1"/>
  <c r="T574" i="1"/>
  <c r="G574" i="1"/>
  <c r="F574" i="1"/>
  <c r="U573" i="1"/>
  <c r="T573" i="1"/>
  <c r="G573" i="1"/>
  <c r="F573" i="1"/>
  <c r="U572" i="1"/>
  <c r="T572" i="1"/>
  <c r="G572" i="1"/>
  <c r="F572" i="1"/>
  <c r="U571" i="1"/>
  <c r="T571" i="1"/>
  <c r="G571" i="1"/>
  <c r="F571" i="1"/>
  <c r="U570" i="1"/>
  <c r="T570" i="1"/>
  <c r="G570" i="1"/>
  <c r="F570" i="1"/>
  <c r="U569" i="1"/>
  <c r="T569" i="1"/>
  <c r="G569" i="1"/>
  <c r="F569" i="1"/>
  <c r="U568" i="1"/>
  <c r="T568" i="1"/>
  <c r="G568" i="1"/>
  <c r="F568" i="1"/>
  <c r="U567" i="1"/>
  <c r="T567" i="1"/>
  <c r="G567" i="1"/>
  <c r="F567" i="1"/>
  <c r="U566" i="1"/>
  <c r="T566" i="1"/>
  <c r="G566" i="1"/>
  <c r="F566" i="1"/>
  <c r="U565" i="1"/>
  <c r="T565" i="1"/>
  <c r="G565" i="1"/>
  <c r="F565" i="1"/>
  <c r="U564" i="1"/>
  <c r="T564" i="1"/>
  <c r="G564" i="1"/>
  <c r="F564" i="1"/>
  <c r="U563" i="1"/>
  <c r="T563" i="1"/>
  <c r="G563" i="1"/>
  <c r="F563" i="1"/>
  <c r="U562" i="1"/>
  <c r="T562" i="1"/>
  <c r="G562" i="1"/>
  <c r="F562" i="1"/>
  <c r="U561" i="1"/>
  <c r="T561" i="1"/>
  <c r="G561" i="1"/>
  <c r="F561" i="1"/>
  <c r="U560" i="1"/>
  <c r="T560" i="1"/>
  <c r="G560" i="1"/>
  <c r="F560" i="1"/>
  <c r="U559" i="1"/>
  <c r="T559" i="1"/>
  <c r="G559" i="1"/>
  <c r="F559" i="1"/>
  <c r="U558" i="1"/>
  <c r="T558" i="1"/>
  <c r="G558" i="1"/>
  <c r="F558" i="1"/>
  <c r="U557" i="1"/>
  <c r="T557" i="1"/>
  <c r="G557" i="1"/>
  <c r="F557" i="1"/>
  <c r="U556" i="1"/>
  <c r="T556" i="1"/>
  <c r="G556" i="1"/>
  <c r="F556" i="1"/>
  <c r="U555" i="1"/>
  <c r="T555" i="1"/>
  <c r="G555" i="1"/>
  <c r="F555" i="1"/>
  <c r="U554" i="1"/>
  <c r="T554" i="1"/>
  <c r="G554" i="1"/>
  <c r="F554" i="1"/>
  <c r="U553" i="1"/>
  <c r="T553" i="1"/>
  <c r="G553" i="1"/>
  <c r="F553" i="1"/>
  <c r="U552" i="1"/>
  <c r="T552" i="1"/>
  <c r="G552" i="1"/>
  <c r="F552" i="1"/>
  <c r="U551" i="1"/>
  <c r="T551" i="1"/>
  <c r="G551" i="1"/>
  <c r="F551" i="1"/>
  <c r="U550" i="1"/>
  <c r="T550" i="1"/>
  <c r="G550" i="1"/>
  <c r="F550" i="1"/>
  <c r="U549" i="1"/>
  <c r="T549" i="1"/>
  <c r="G549" i="1"/>
  <c r="F549" i="1"/>
  <c r="U548" i="1"/>
  <c r="T548" i="1"/>
  <c r="G548" i="1"/>
  <c r="F548" i="1"/>
  <c r="U547" i="1"/>
  <c r="T547" i="1"/>
  <c r="G547" i="1"/>
  <c r="F547" i="1"/>
  <c r="U546" i="1"/>
  <c r="T546" i="1"/>
  <c r="G546" i="1"/>
  <c r="F546" i="1"/>
  <c r="U545" i="1"/>
  <c r="T545" i="1"/>
  <c r="G545" i="1"/>
  <c r="F545" i="1"/>
  <c r="U544" i="1"/>
  <c r="T544" i="1"/>
  <c r="G544" i="1"/>
  <c r="F544" i="1"/>
  <c r="U543" i="1"/>
  <c r="T543" i="1"/>
  <c r="G543" i="1"/>
  <c r="F543" i="1"/>
  <c r="U542" i="1"/>
  <c r="T542" i="1"/>
  <c r="G542" i="1"/>
  <c r="F542" i="1"/>
  <c r="U541" i="1"/>
  <c r="T541" i="1"/>
  <c r="G541" i="1"/>
  <c r="F541" i="1"/>
  <c r="U540" i="1"/>
  <c r="T540" i="1"/>
  <c r="G540" i="1"/>
  <c r="F540" i="1"/>
  <c r="U539" i="1"/>
  <c r="T539" i="1"/>
  <c r="G539" i="1"/>
  <c r="F539" i="1"/>
  <c r="U538" i="1"/>
  <c r="T538" i="1"/>
  <c r="G538" i="1"/>
  <c r="F538" i="1"/>
  <c r="U537" i="1"/>
  <c r="T537" i="1"/>
  <c r="G537" i="1"/>
  <c r="F537" i="1"/>
  <c r="U536" i="1"/>
  <c r="T536" i="1"/>
  <c r="G536" i="1"/>
  <c r="F536" i="1"/>
  <c r="U535" i="1"/>
  <c r="T535" i="1"/>
  <c r="G535" i="1"/>
  <c r="F535" i="1"/>
  <c r="U534" i="1"/>
  <c r="T534" i="1"/>
  <c r="G534" i="1"/>
  <c r="F534" i="1"/>
  <c r="U533" i="1"/>
  <c r="T533" i="1"/>
  <c r="G533" i="1"/>
  <c r="F533" i="1"/>
  <c r="U532" i="1"/>
  <c r="T532" i="1"/>
  <c r="G532" i="1"/>
  <c r="F532" i="1"/>
  <c r="U531" i="1"/>
  <c r="T531" i="1"/>
  <c r="G531" i="1"/>
  <c r="F531" i="1"/>
  <c r="U530" i="1"/>
  <c r="T530" i="1"/>
  <c r="G530" i="1"/>
  <c r="F530" i="1"/>
  <c r="U529" i="1"/>
  <c r="T529" i="1"/>
  <c r="G529" i="1"/>
  <c r="F529" i="1"/>
  <c r="U528" i="1"/>
  <c r="T528" i="1"/>
  <c r="G528" i="1"/>
  <c r="F528" i="1"/>
  <c r="U527" i="1"/>
  <c r="T527" i="1"/>
  <c r="G527" i="1"/>
  <c r="F527" i="1"/>
  <c r="U526" i="1"/>
  <c r="T526" i="1"/>
  <c r="G526" i="1"/>
  <c r="F526" i="1"/>
  <c r="U525" i="1"/>
  <c r="T525" i="1"/>
  <c r="G525" i="1"/>
  <c r="F525" i="1"/>
  <c r="U524" i="1"/>
  <c r="T524" i="1"/>
  <c r="G524" i="1"/>
  <c r="F524" i="1"/>
  <c r="U523" i="1"/>
  <c r="T523" i="1"/>
  <c r="G523" i="1"/>
  <c r="F523" i="1"/>
  <c r="U522" i="1"/>
  <c r="T522" i="1"/>
  <c r="G522" i="1"/>
  <c r="F522" i="1"/>
  <c r="U521" i="1"/>
  <c r="T521" i="1"/>
  <c r="G521" i="1"/>
  <c r="F521" i="1"/>
  <c r="U520" i="1"/>
  <c r="T520" i="1"/>
  <c r="G520" i="1"/>
  <c r="F520" i="1"/>
  <c r="U519" i="1"/>
  <c r="T519" i="1"/>
  <c r="G519" i="1"/>
  <c r="F519" i="1"/>
  <c r="U518" i="1"/>
  <c r="T518" i="1"/>
  <c r="G518" i="1"/>
  <c r="F518" i="1"/>
  <c r="U517" i="1"/>
  <c r="T517" i="1"/>
  <c r="G517" i="1"/>
  <c r="F517" i="1"/>
  <c r="U516" i="1"/>
  <c r="T516" i="1"/>
  <c r="G516" i="1"/>
  <c r="F516" i="1"/>
  <c r="U515" i="1"/>
  <c r="T515" i="1"/>
  <c r="G515" i="1"/>
  <c r="F515" i="1"/>
  <c r="U514" i="1"/>
  <c r="T514" i="1"/>
  <c r="G514" i="1"/>
  <c r="F514" i="1"/>
  <c r="U513" i="1"/>
  <c r="T513" i="1"/>
  <c r="G513" i="1"/>
  <c r="F513" i="1"/>
  <c r="U512" i="1"/>
  <c r="T512" i="1"/>
  <c r="G512" i="1"/>
  <c r="F512" i="1"/>
  <c r="U511" i="1"/>
  <c r="T511" i="1"/>
  <c r="G511" i="1"/>
  <c r="F511" i="1"/>
  <c r="U510" i="1"/>
  <c r="T510" i="1"/>
  <c r="G510" i="1"/>
  <c r="F510" i="1"/>
  <c r="U509" i="1"/>
  <c r="T509" i="1"/>
  <c r="G509" i="1"/>
  <c r="F509" i="1"/>
  <c r="U508" i="1"/>
  <c r="T508" i="1"/>
  <c r="G508" i="1"/>
  <c r="F508" i="1"/>
  <c r="U507" i="1"/>
  <c r="T507" i="1"/>
  <c r="G507" i="1"/>
  <c r="F507" i="1"/>
  <c r="U506" i="1"/>
  <c r="T506" i="1"/>
  <c r="G506" i="1"/>
  <c r="F506" i="1"/>
  <c r="U505" i="1"/>
  <c r="T505" i="1"/>
  <c r="G505" i="1"/>
  <c r="F505" i="1"/>
  <c r="U504" i="1"/>
  <c r="T504" i="1"/>
  <c r="G504" i="1"/>
  <c r="F504" i="1"/>
  <c r="U503" i="1"/>
  <c r="T503" i="1"/>
  <c r="G503" i="1"/>
  <c r="F503" i="1"/>
  <c r="U502" i="1"/>
  <c r="T502" i="1"/>
  <c r="G502" i="1"/>
  <c r="F502" i="1"/>
  <c r="U501" i="1"/>
  <c r="T501" i="1"/>
  <c r="G501" i="1"/>
  <c r="F501" i="1"/>
  <c r="U500" i="1"/>
  <c r="T500" i="1"/>
  <c r="G500" i="1"/>
  <c r="F500" i="1"/>
  <c r="U499" i="1"/>
  <c r="T499" i="1"/>
  <c r="G499" i="1"/>
  <c r="F499" i="1"/>
  <c r="U498" i="1"/>
  <c r="T498" i="1"/>
  <c r="G498" i="1"/>
  <c r="F498" i="1"/>
  <c r="U497" i="1"/>
  <c r="T497" i="1"/>
  <c r="G497" i="1"/>
  <c r="F497" i="1"/>
  <c r="U496" i="1"/>
  <c r="T496" i="1"/>
  <c r="G496" i="1"/>
  <c r="F496" i="1"/>
  <c r="U495" i="1"/>
  <c r="T495" i="1"/>
  <c r="G495" i="1"/>
  <c r="F495" i="1"/>
  <c r="U494" i="1"/>
  <c r="T494" i="1"/>
  <c r="G494" i="1"/>
  <c r="F494" i="1"/>
  <c r="U493" i="1"/>
  <c r="T493" i="1"/>
  <c r="G493" i="1"/>
  <c r="F493" i="1"/>
  <c r="U492" i="1"/>
  <c r="T492" i="1"/>
  <c r="G492" i="1"/>
  <c r="F492" i="1"/>
  <c r="U491" i="1"/>
  <c r="T491" i="1"/>
  <c r="G491" i="1"/>
  <c r="F491" i="1"/>
  <c r="U490" i="1"/>
  <c r="T490" i="1"/>
  <c r="G490" i="1"/>
  <c r="F490" i="1"/>
  <c r="U489" i="1"/>
  <c r="T489" i="1"/>
  <c r="G489" i="1"/>
  <c r="F489" i="1"/>
  <c r="U488" i="1"/>
  <c r="T488" i="1"/>
  <c r="G488" i="1"/>
  <c r="F488" i="1"/>
  <c r="U487" i="1"/>
  <c r="T487" i="1"/>
  <c r="G487" i="1"/>
  <c r="F487" i="1"/>
  <c r="U486" i="1"/>
  <c r="T486" i="1"/>
  <c r="G486" i="1"/>
  <c r="F486" i="1"/>
  <c r="U485" i="1"/>
  <c r="T485" i="1"/>
  <c r="G485" i="1"/>
  <c r="F485" i="1"/>
  <c r="U484" i="1"/>
  <c r="T484" i="1"/>
  <c r="G484" i="1"/>
  <c r="F484" i="1"/>
  <c r="U483" i="1"/>
  <c r="T483" i="1"/>
  <c r="G483" i="1"/>
  <c r="F483" i="1"/>
  <c r="U482" i="1"/>
  <c r="T482" i="1"/>
  <c r="G482" i="1"/>
  <c r="F482" i="1"/>
  <c r="U481" i="1"/>
  <c r="T481" i="1"/>
  <c r="G481" i="1"/>
  <c r="F481" i="1"/>
  <c r="U480" i="1"/>
  <c r="T480" i="1"/>
  <c r="G480" i="1"/>
  <c r="F480" i="1"/>
  <c r="U479" i="1"/>
  <c r="T479" i="1"/>
  <c r="G479" i="1"/>
  <c r="F479" i="1"/>
  <c r="U478" i="1"/>
  <c r="T478" i="1"/>
  <c r="G478" i="1"/>
  <c r="F478" i="1"/>
  <c r="U477" i="1"/>
  <c r="T477" i="1"/>
  <c r="G477" i="1"/>
  <c r="F477" i="1"/>
  <c r="U476" i="1"/>
  <c r="T476" i="1"/>
  <c r="G476" i="1"/>
  <c r="F476" i="1"/>
  <c r="U475" i="1"/>
  <c r="T475" i="1"/>
  <c r="G475" i="1"/>
  <c r="F475" i="1"/>
  <c r="U474" i="1"/>
  <c r="T474" i="1"/>
  <c r="G474" i="1"/>
  <c r="F474" i="1"/>
  <c r="U473" i="1"/>
  <c r="T473" i="1"/>
  <c r="G473" i="1"/>
  <c r="F473" i="1"/>
  <c r="U472" i="1"/>
  <c r="T472" i="1"/>
  <c r="G472" i="1"/>
  <c r="F472" i="1"/>
  <c r="U471" i="1"/>
  <c r="T471" i="1"/>
  <c r="G471" i="1"/>
  <c r="F471" i="1"/>
  <c r="U470" i="1"/>
  <c r="T470" i="1"/>
  <c r="G470" i="1"/>
  <c r="F470" i="1"/>
  <c r="U469" i="1"/>
  <c r="T469" i="1"/>
  <c r="G469" i="1"/>
  <c r="F469" i="1"/>
  <c r="U468" i="1"/>
  <c r="T468" i="1"/>
  <c r="G468" i="1"/>
  <c r="F468" i="1"/>
  <c r="U467" i="1"/>
  <c r="T467" i="1"/>
  <c r="G467" i="1"/>
  <c r="F467" i="1"/>
  <c r="U466" i="1"/>
  <c r="T466" i="1"/>
  <c r="G466" i="1"/>
  <c r="F466" i="1"/>
  <c r="U465" i="1"/>
  <c r="T465" i="1"/>
  <c r="G465" i="1"/>
  <c r="F465" i="1"/>
  <c r="U464" i="1"/>
  <c r="T464" i="1"/>
  <c r="G464" i="1"/>
  <c r="F464" i="1"/>
  <c r="U463" i="1"/>
  <c r="T463" i="1"/>
  <c r="G463" i="1"/>
  <c r="F463" i="1"/>
  <c r="U462" i="1"/>
  <c r="T462" i="1"/>
  <c r="G462" i="1"/>
  <c r="F462" i="1"/>
  <c r="U461" i="1"/>
  <c r="T461" i="1"/>
  <c r="G461" i="1"/>
  <c r="F461" i="1"/>
  <c r="U460" i="1"/>
  <c r="T460" i="1"/>
  <c r="G460" i="1"/>
  <c r="F460" i="1"/>
  <c r="U459" i="1"/>
  <c r="T459" i="1"/>
  <c r="G459" i="1"/>
  <c r="F459" i="1"/>
  <c r="U458" i="1"/>
  <c r="T458" i="1"/>
  <c r="G458" i="1"/>
  <c r="F458" i="1"/>
  <c r="U457" i="1"/>
  <c r="T457" i="1"/>
  <c r="G457" i="1"/>
  <c r="F457" i="1"/>
  <c r="U456" i="1"/>
  <c r="T456" i="1"/>
  <c r="G456" i="1"/>
  <c r="F456" i="1"/>
  <c r="U455" i="1"/>
  <c r="T455" i="1"/>
  <c r="G455" i="1"/>
  <c r="F455" i="1"/>
  <c r="U454" i="1"/>
  <c r="T454" i="1"/>
  <c r="G454" i="1"/>
  <c r="F454" i="1"/>
  <c r="U453" i="1"/>
  <c r="T453" i="1"/>
  <c r="G453" i="1"/>
  <c r="F453" i="1"/>
  <c r="U452" i="1"/>
  <c r="T452" i="1"/>
  <c r="G452" i="1"/>
  <c r="F452" i="1"/>
  <c r="U451" i="1"/>
  <c r="T451" i="1"/>
  <c r="G451" i="1"/>
  <c r="F451" i="1"/>
  <c r="U450" i="1"/>
  <c r="T450" i="1"/>
  <c r="G450" i="1"/>
  <c r="F450" i="1"/>
  <c r="U449" i="1"/>
  <c r="T449" i="1"/>
  <c r="G449" i="1"/>
  <c r="F449" i="1"/>
  <c r="U448" i="1"/>
  <c r="T448" i="1"/>
  <c r="G448" i="1"/>
  <c r="F448" i="1"/>
  <c r="U447" i="1"/>
  <c r="T447" i="1"/>
  <c r="G447" i="1"/>
  <c r="F447" i="1"/>
  <c r="U446" i="1"/>
  <c r="T446" i="1"/>
  <c r="G446" i="1"/>
  <c r="F446" i="1"/>
  <c r="U445" i="1"/>
  <c r="T445" i="1"/>
  <c r="G445" i="1"/>
  <c r="F445" i="1"/>
  <c r="U444" i="1"/>
  <c r="T444" i="1"/>
  <c r="G444" i="1"/>
  <c r="F444" i="1"/>
  <c r="U443" i="1"/>
  <c r="T443" i="1"/>
  <c r="G443" i="1"/>
  <c r="F443" i="1"/>
  <c r="U442" i="1"/>
  <c r="T442" i="1"/>
  <c r="G442" i="1"/>
  <c r="F442" i="1"/>
  <c r="U441" i="1"/>
  <c r="T441" i="1"/>
  <c r="G441" i="1"/>
  <c r="F441" i="1"/>
  <c r="U440" i="1"/>
  <c r="T440" i="1"/>
  <c r="G440" i="1"/>
  <c r="F440" i="1"/>
  <c r="U439" i="1"/>
  <c r="T439" i="1"/>
  <c r="G439" i="1"/>
  <c r="F439" i="1"/>
  <c r="U438" i="1"/>
  <c r="T438" i="1"/>
  <c r="G438" i="1"/>
  <c r="F438" i="1"/>
  <c r="U437" i="1"/>
  <c r="T437" i="1"/>
  <c r="G437" i="1"/>
  <c r="F437" i="1"/>
  <c r="U436" i="1"/>
  <c r="T436" i="1"/>
  <c r="G436" i="1"/>
  <c r="F436" i="1"/>
  <c r="U435" i="1"/>
  <c r="T435" i="1"/>
  <c r="G435" i="1"/>
  <c r="F435" i="1"/>
  <c r="U434" i="1"/>
  <c r="T434" i="1"/>
  <c r="G434" i="1"/>
  <c r="F434" i="1"/>
  <c r="U433" i="1"/>
  <c r="T433" i="1"/>
  <c r="G433" i="1"/>
  <c r="F433" i="1"/>
  <c r="U432" i="1"/>
  <c r="T432" i="1"/>
  <c r="G432" i="1"/>
  <c r="F432" i="1"/>
  <c r="U431" i="1"/>
  <c r="T431" i="1"/>
  <c r="G431" i="1"/>
  <c r="F431" i="1"/>
  <c r="U430" i="1"/>
  <c r="T430" i="1"/>
  <c r="G430" i="1"/>
  <c r="F430" i="1"/>
  <c r="U429" i="1"/>
  <c r="T429" i="1"/>
  <c r="G429" i="1"/>
  <c r="F429" i="1"/>
  <c r="U428" i="1"/>
  <c r="T428" i="1"/>
  <c r="G428" i="1"/>
  <c r="F428" i="1"/>
  <c r="U427" i="1"/>
  <c r="T427" i="1"/>
  <c r="G427" i="1"/>
  <c r="F427" i="1"/>
  <c r="U426" i="1"/>
  <c r="T426" i="1"/>
  <c r="G426" i="1"/>
  <c r="F426" i="1"/>
  <c r="U425" i="1"/>
  <c r="T425" i="1"/>
  <c r="G425" i="1"/>
  <c r="F425" i="1"/>
  <c r="U424" i="1"/>
  <c r="T424" i="1"/>
  <c r="G424" i="1"/>
  <c r="F424" i="1"/>
  <c r="U423" i="1"/>
  <c r="T423" i="1"/>
  <c r="G423" i="1"/>
  <c r="F423" i="1"/>
  <c r="U422" i="1"/>
  <c r="T422" i="1"/>
  <c r="G422" i="1"/>
  <c r="F422" i="1"/>
  <c r="U421" i="1"/>
  <c r="T421" i="1"/>
  <c r="G421" i="1"/>
  <c r="F421" i="1"/>
  <c r="U420" i="1"/>
  <c r="T420" i="1"/>
  <c r="G420" i="1"/>
  <c r="F420" i="1"/>
  <c r="U419" i="1"/>
  <c r="T419" i="1"/>
  <c r="G419" i="1"/>
  <c r="F419" i="1"/>
  <c r="U418" i="1"/>
  <c r="T418" i="1"/>
  <c r="G418" i="1"/>
  <c r="F418" i="1"/>
  <c r="U417" i="1"/>
  <c r="T417" i="1"/>
  <c r="G417" i="1"/>
  <c r="F417" i="1"/>
  <c r="U416" i="1"/>
  <c r="T416" i="1"/>
  <c r="G416" i="1"/>
  <c r="F416" i="1"/>
  <c r="U415" i="1"/>
  <c r="T415" i="1"/>
  <c r="G415" i="1"/>
  <c r="F415" i="1"/>
  <c r="U414" i="1"/>
  <c r="T414" i="1"/>
  <c r="G414" i="1"/>
  <c r="F414" i="1"/>
  <c r="U413" i="1"/>
  <c r="T413" i="1"/>
  <c r="G413" i="1"/>
  <c r="F413" i="1"/>
  <c r="U412" i="1"/>
  <c r="T412" i="1"/>
  <c r="G412" i="1"/>
  <c r="F412" i="1"/>
  <c r="U411" i="1"/>
  <c r="T411" i="1"/>
  <c r="G411" i="1"/>
  <c r="F411" i="1"/>
  <c r="U410" i="1"/>
  <c r="T410" i="1"/>
  <c r="G410" i="1"/>
  <c r="F410" i="1"/>
  <c r="U409" i="1"/>
  <c r="T409" i="1"/>
  <c r="G409" i="1"/>
  <c r="F409" i="1"/>
  <c r="U408" i="1"/>
  <c r="T408" i="1"/>
  <c r="G408" i="1"/>
  <c r="F408" i="1"/>
  <c r="U407" i="1"/>
  <c r="T407" i="1"/>
  <c r="G407" i="1"/>
  <c r="F407" i="1"/>
  <c r="U406" i="1"/>
  <c r="T406" i="1"/>
  <c r="G406" i="1"/>
  <c r="F406" i="1"/>
  <c r="U405" i="1"/>
  <c r="T405" i="1"/>
  <c r="G405" i="1"/>
  <c r="F405" i="1"/>
  <c r="U404" i="1"/>
  <c r="T404" i="1"/>
  <c r="G404" i="1"/>
  <c r="F404" i="1"/>
  <c r="U403" i="1"/>
  <c r="T403" i="1"/>
  <c r="G403" i="1"/>
  <c r="F403" i="1"/>
  <c r="U402" i="1"/>
  <c r="T402" i="1"/>
  <c r="G402" i="1"/>
  <c r="F402" i="1"/>
  <c r="U401" i="1"/>
  <c r="T401" i="1"/>
  <c r="G401" i="1"/>
  <c r="F401" i="1"/>
  <c r="U400" i="1"/>
  <c r="T400" i="1"/>
  <c r="G400" i="1"/>
  <c r="F400" i="1"/>
  <c r="U399" i="1"/>
  <c r="T399" i="1"/>
  <c r="G399" i="1"/>
  <c r="F399" i="1"/>
  <c r="U398" i="1"/>
  <c r="T398" i="1"/>
  <c r="G398" i="1"/>
  <c r="F398" i="1"/>
  <c r="U397" i="1"/>
  <c r="T397" i="1"/>
  <c r="G397" i="1"/>
  <c r="F397" i="1"/>
  <c r="U396" i="1"/>
  <c r="T396" i="1"/>
  <c r="G396" i="1"/>
  <c r="F396" i="1"/>
  <c r="U395" i="1"/>
  <c r="T395" i="1"/>
  <c r="G395" i="1"/>
  <c r="F395" i="1"/>
  <c r="U394" i="1"/>
  <c r="T394" i="1"/>
  <c r="G394" i="1"/>
  <c r="F394" i="1"/>
  <c r="U393" i="1"/>
  <c r="T393" i="1"/>
  <c r="G393" i="1"/>
  <c r="F393" i="1"/>
  <c r="U392" i="1"/>
  <c r="T392" i="1"/>
  <c r="G392" i="1"/>
  <c r="F392" i="1"/>
  <c r="U391" i="1"/>
  <c r="T391" i="1"/>
  <c r="G391" i="1"/>
  <c r="F391" i="1"/>
  <c r="U390" i="1"/>
  <c r="T390" i="1"/>
  <c r="G390" i="1"/>
  <c r="F390" i="1"/>
  <c r="U389" i="1"/>
  <c r="T389" i="1"/>
  <c r="G389" i="1"/>
  <c r="F389" i="1"/>
  <c r="U388" i="1"/>
  <c r="T388" i="1"/>
  <c r="G388" i="1"/>
  <c r="F388" i="1"/>
  <c r="U387" i="1"/>
  <c r="T387" i="1"/>
  <c r="G387" i="1"/>
  <c r="F387" i="1"/>
  <c r="U386" i="1"/>
  <c r="T386" i="1"/>
  <c r="G386" i="1"/>
  <c r="F386" i="1"/>
  <c r="U385" i="1"/>
  <c r="T385" i="1"/>
  <c r="G385" i="1"/>
  <c r="F385" i="1"/>
  <c r="U384" i="1"/>
  <c r="T384" i="1"/>
  <c r="G384" i="1"/>
  <c r="F384" i="1"/>
  <c r="U383" i="1"/>
  <c r="T383" i="1"/>
  <c r="G383" i="1"/>
  <c r="F383" i="1"/>
  <c r="U382" i="1"/>
  <c r="T382" i="1"/>
  <c r="G382" i="1"/>
  <c r="F382" i="1"/>
  <c r="U381" i="1"/>
  <c r="T381" i="1"/>
  <c r="G381" i="1"/>
  <c r="F381" i="1"/>
  <c r="U380" i="1"/>
  <c r="T380" i="1"/>
  <c r="G380" i="1"/>
  <c r="F380" i="1"/>
  <c r="U379" i="1"/>
  <c r="T379" i="1"/>
  <c r="G379" i="1"/>
  <c r="F379" i="1"/>
  <c r="U378" i="1"/>
  <c r="T378" i="1"/>
  <c r="G378" i="1"/>
  <c r="F378" i="1"/>
  <c r="U377" i="1"/>
  <c r="T377" i="1"/>
  <c r="G377" i="1"/>
  <c r="F377" i="1"/>
  <c r="U376" i="1"/>
  <c r="T376" i="1"/>
  <c r="G376" i="1"/>
  <c r="F376" i="1"/>
  <c r="U375" i="1"/>
  <c r="T375" i="1"/>
  <c r="G375" i="1"/>
  <c r="F375" i="1"/>
  <c r="U374" i="1"/>
  <c r="T374" i="1"/>
  <c r="G374" i="1"/>
  <c r="F374" i="1"/>
  <c r="U373" i="1"/>
  <c r="T373" i="1"/>
  <c r="G373" i="1"/>
  <c r="F373" i="1"/>
  <c r="U371" i="1"/>
  <c r="T371" i="1"/>
  <c r="G371" i="1"/>
  <c r="F371" i="1"/>
  <c r="U370" i="1"/>
  <c r="T370" i="1"/>
  <c r="G370" i="1"/>
  <c r="F370" i="1"/>
  <c r="U369" i="1"/>
  <c r="T369" i="1"/>
  <c r="G369" i="1"/>
  <c r="F369" i="1"/>
  <c r="U368" i="1"/>
  <c r="T368" i="1"/>
  <c r="G368" i="1"/>
  <c r="F368" i="1"/>
  <c r="U367" i="1"/>
  <c r="T367" i="1"/>
  <c r="G367" i="1"/>
  <c r="F367" i="1"/>
  <c r="U366" i="1"/>
  <c r="T366" i="1"/>
  <c r="G366" i="1"/>
  <c r="F366" i="1"/>
  <c r="U365" i="1"/>
  <c r="T365" i="1"/>
  <c r="G365" i="1"/>
  <c r="F365" i="1"/>
  <c r="U364" i="1"/>
  <c r="T364" i="1"/>
  <c r="G364" i="1"/>
  <c r="F364" i="1"/>
  <c r="U363" i="1"/>
  <c r="T363" i="1"/>
  <c r="G363" i="1"/>
  <c r="F363" i="1"/>
  <c r="U362" i="1"/>
  <c r="T362" i="1"/>
  <c r="G362" i="1"/>
  <c r="F362" i="1"/>
  <c r="U361" i="1"/>
  <c r="T361" i="1"/>
  <c r="G361" i="1"/>
  <c r="F361" i="1"/>
  <c r="U360" i="1"/>
  <c r="T360" i="1"/>
  <c r="G360" i="1"/>
  <c r="F360" i="1"/>
  <c r="U359" i="1"/>
  <c r="T359" i="1"/>
  <c r="G359" i="1"/>
  <c r="F359" i="1"/>
  <c r="U358" i="1"/>
  <c r="T358" i="1"/>
  <c r="G358" i="1"/>
  <c r="F358" i="1"/>
  <c r="U357" i="1"/>
  <c r="T357" i="1"/>
  <c r="G357" i="1"/>
  <c r="F357" i="1"/>
  <c r="U356" i="1"/>
  <c r="T356" i="1"/>
  <c r="G356" i="1"/>
  <c r="F356" i="1"/>
  <c r="U355" i="1"/>
  <c r="T355" i="1"/>
  <c r="G355" i="1"/>
  <c r="F355" i="1"/>
  <c r="U354" i="1"/>
  <c r="T354" i="1"/>
  <c r="G354" i="1"/>
  <c r="F354" i="1"/>
  <c r="U353" i="1"/>
  <c r="T353" i="1"/>
  <c r="G353" i="1"/>
  <c r="F353" i="1"/>
  <c r="U352" i="1"/>
  <c r="T352" i="1"/>
  <c r="G352" i="1"/>
  <c r="F352" i="1"/>
  <c r="U351" i="1"/>
  <c r="T351" i="1"/>
  <c r="G351" i="1"/>
  <c r="F351" i="1"/>
  <c r="U350" i="1"/>
  <c r="T350" i="1"/>
  <c r="G350" i="1"/>
  <c r="F350" i="1"/>
  <c r="U349" i="1"/>
  <c r="T349" i="1"/>
  <c r="G349" i="1"/>
  <c r="F349" i="1"/>
  <c r="U348" i="1"/>
  <c r="T348" i="1"/>
  <c r="G348" i="1"/>
  <c r="F348" i="1"/>
  <c r="U347" i="1"/>
  <c r="T347" i="1"/>
  <c r="G347" i="1"/>
  <c r="F347" i="1"/>
  <c r="U346" i="1"/>
  <c r="T346" i="1"/>
  <c r="G346" i="1"/>
  <c r="F346" i="1"/>
  <c r="U345" i="1"/>
  <c r="T345" i="1"/>
  <c r="G345" i="1"/>
  <c r="F345" i="1"/>
  <c r="U344" i="1"/>
  <c r="T344" i="1"/>
  <c r="G344" i="1"/>
  <c r="F344" i="1"/>
  <c r="U343" i="1"/>
  <c r="T343" i="1"/>
  <c r="G343" i="1"/>
  <c r="F343" i="1"/>
  <c r="U342" i="1"/>
  <c r="T342" i="1"/>
  <c r="G342" i="1"/>
  <c r="F342" i="1"/>
  <c r="U341" i="1"/>
  <c r="T341" i="1"/>
  <c r="G341" i="1"/>
  <c r="F341" i="1"/>
  <c r="U340" i="1"/>
  <c r="T340" i="1"/>
  <c r="G340" i="1"/>
  <c r="F340" i="1"/>
  <c r="U339" i="1"/>
  <c r="T339" i="1"/>
  <c r="G339" i="1"/>
  <c r="F339" i="1"/>
  <c r="U338" i="1"/>
  <c r="T338" i="1"/>
  <c r="G338" i="1"/>
  <c r="F338" i="1"/>
  <c r="U337" i="1"/>
  <c r="T337" i="1"/>
  <c r="G337" i="1"/>
  <c r="F337" i="1"/>
  <c r="U336" i="1"/>
  <c r="T336" i="1"/>
  <c r="G336" i="1"/>
  <c r="F336" i="1"/>
  <c r="U335" i="1"/>
  <c r="T335" i="1"/>
  <c r="G335" i="1"/>
  <c r="F335" i="1"/>
  <c r="U334" i="1"/>
  <c r="T334" i="1"/>
  <c r="G334" i="1"/>
  <c r="F334" i="1"/>
  <c r="U333" i="1"/>
  <c r="T333" i="1"/>
  <c r="G333" i="1"/>
  <c r="F333" i="1"/>
  <c r="U332" i="1"/>
  <c r="T332" i="1"/>
  <c r="G332" i="1"/>
  <c r="F332" i="1"/>
  <c r="U331" i="1"/>
  <c r="T331" i="1"/>
  <c r="G331" i="1"/>
  <c r="F331" i="1"/>
  <c r="U330" i="1"/>
  <c r="T330" i="1"/>
  <c r="G330" i="1"/>
  <c r="F330" i="1"/>
  <c r="U329" i="1"/>
  <c r="T329" i="1"/>
  <c r="G329" i="1"/>
  <c r="F329" i="1"/>
  <c r="U328" i="1"/>
  <c r="T328" i="1"/>
  <c r="G328" i="1"/>
  <c r="F328" i="1"/>
  <c r="U327" i="1"/>
  <c r="T327" i="1"/>
  <c r="G327" i="1"/>
  <c r="F327" i="1"/>
  <c r="U326" i="1"/>
  <c r="T326" i="1"/>
  <c r="G326" i="1"/>
  <c r="F326" i="1"/>
  <c r="U325" i="1"/>
  <c r="T325" i="1"/>
  <c r="G325" i="1"/>
  <c r="F325" i="1"/>
  <c r="U324" i="1"/>
  <c r="T324" i="1"/>
  <c r="G324" i="1"/>
  <c r="F324" i="1"/>
  <c r="U323" i="1"/>
  <c r="T323" i="1"/>
  <c r="G323" i="1"/>
  <c r="F323" i="1"/>
  <c r="U322" i="1"/>
  <c r="T322" i="1"/>
  <c r="G322" i="1"/>
  <c r="F322" i="1"/>
  <c r="U321" i="1"/>
  <c r="T321" i="1"/>
  <c r="G321" i="1"/>
  <c r="F321" i="1"/>
  <c r="U320" i="1"/>
  <c r="T320" i="1"/>
  <c r="G320" i="1"/>
  <c r="F320" i="1"/>
  <c r="U319" i="1"/>
  <c r="T319" i="1"/>
  <c r="G319" i="1"/>
  <c r="F319" i="1"/>
  <c r="U318" i="1"/>
  <c r="T318" i="1"/>
  <c r="G318" i="1"/>
  <c r="F318" i="1"/>
  <c r="U317" i="1"/>
  <c r="T317" i="1"/>
  <c r="G317" i="1"/>
  <c r="F317" i="1"/>
  <c r="U316" i="1"/>
  <c r="T316" i="1"/>
  <c r="G316" i="1"/>
  <c r="F316" i="1"/>
  <c r="U315" i="1"/>
  <c r="T315" i="1"/>
  <c r="G315" i="1"/>
  <c r="F315" i="1"/>
  <c r="U314" i="1"/>
  <c r="T314" i="1"/>
  <c r="G314" i="1"/>
  <c r="F314" i="1"/>
  <c r="U313" i="1"/>
  <c r="T313" i="1"/>
  <c r="G313" i="1"/>
  <c r="F313" i="1"/>
  <c r="U312" i="1"/>
  <c r="T312" i="1"/>
  <c r="G312" i="1"/>
  <c r="F312" i="1"/>
  <c r="U311" i="1"/>
  <c r="T311" i="1"/>
  <c r="G311" i="1"/>
  <c r="F311" i="1"/>
  <c r="U310" i="1"/>
  <c r="T310" i="1"/>
  <c r="G310" i="1"/>
  <c r="F310" i="1"/>
  <c r="U309" i="1"/>
  <c r="T309" i="1"/>
  <c r="G309" i="1"/>
  <c r="F309" i="1"/>
  <c r="U308" i="1"/>
  <c r="T308" i="1"/>
  <c r="G308" i="1"/>
  <c r="F308" i="1"/>
  <c r="U307" i="1"/>
  <c r="T307" i="1"/>
  <c r="G307" i="1"/>
  <c r="F307" i="1"/>
  <c r="U306" i="1"/>
  <c r="T306" i="1"/>
  <c r="G306" i="1"/>
  <c r="F306" i="1"/>
  <c r="U305" i="1"/>
  <c r="T305" i="1"/>
  <c r="G305" i="1"/>
  <c r="F305" i="1"/>
  <c r="U304" i="1"/>
  <c r="T304" i="1"/>
  <c r="G304" i="1"/>
  <c r="F304" i="1"/>
  <c r="U303" i="1"/>
  <c r="T303" i="1"/>
  <c r="G303" i="1"/>
  <c r="F303" i="1"/>
  <c r="U302" i="1"/>
  <c r="T302" i="1"/>
  <c r="G302" i="1"/>
  <c r="F302" i="1"/>
  <c r="U301" i="1"/>
  <c r="T301" i="1"/>
  <c r="G301" i="1"/>
  <c r="F301" i="1"/>
  <c r="U300" i="1"/>
  <c r="T300" i="1"/>
  <c r="G300" i="1"/>
  <c r="F300" i="1"/>
  <c r="U299" i="1"/>
  <c r="T299" i="1"/>
  <c r="G299" i="1"/>
  <c r="F299" i="1"/>
  <c r="U298" i="1"/>
  <c r="T298" i="1"/>
  <c r="G298" i="1"/>
  <c r="F298" i="1"/>
  <c r="U297" i="1"/>
  <c r="T297" i="1"/>
  <c r="G297" i="1"/>
  <c r="F297" i="1"/>
  <c r="U296" i="1"/>
  <c r="T296" i="1"/>
  <c r="G296" i="1"/>
  <c r="F296" i="1"/>
  <c r="U295" i="1"/>
  <c r="T295" i="1"/>
  <c r="G295" i="1"/>
  <c r="F295" i="1"/>
  <c r="U294" i="1"/>
  <c r="T294" i="1"/>
  <c r="G294" i="1"/>
  <c r="F294" i="1"/>
  <c r="U293" i="1"/>
  <c r="T293" i="1"/>
  <c r="G293" i="1"/>
  <c r="F293" i="1"/>
  <c r="U292" i="1"/>
  <c r="T292" i="1"/>
  <c r="G292" i="1"/>
  <c r="F292" i="1"/>
  <c r="U291" i="1"/>
  <c r="T291" i="1"/>
  <c r="G291" i="1"/>
  <c r="F291" i="1"/>
  <c r="U290" i="1"/>
  <c r="T290" i="1"/>
  <c r="G290" i="1"/>
  <c r="F290" i="1"/>
  <c r="U289" i="1"/>
  <c r="T289" i="1"/>
  <c r="G289" i="1"/>
  <c r="F289" i="1"/>
  <c r="U288" i="1"/>
  <c r="T288" i="1"/>
  <c r="G288" i="1"/>
  <c r="F288" i="1"/>
  <c r="U287" i="1"/>
  <c r="T287" i="1"/>
  <c r="G287" i="1"/>
  <c r="F287" i="1"/>
  <c r="U286" i="1"/>
  <c r="T286" i="1"/>
  <c r="G286" i="1"/>
  <c r="F286" i="1"/>
  <c r="U284" i="1"/>
  <c r="T284" i="1"/>
  <c r="G284" i="1"/>
  <c r="F284" i="1"/>
  <c r="U283" i="1"/>
  <c r="T283" i="1"/>
  <c r="G283" i="1"/>
  <c r="F283" i="1"/>
  <c r="U282" i="1"/>
  <c r="T282" i="1"/>
  <c r="G282" i="1"/>
  <c r="F282" i="1"/>
  <c r="U281" i="1"/>
  <c r="T281" i="1"/>
  <c r="G281" i="1"/>
  <c r="F281" i="1"/>
  <c r="U280" i="1"/>
  <c r="T280" i="1"/>
  <c r="G280" i="1"/>
  <c r="F280" i="1"/>
  <c r="U279" i="1"/>
  <c r="T279" i="1"/>
  <c r="G279" i="1"/>
  <c r="F279" i="1"/>
  <c r="U278" i="1"/>
  <c r="T278" i="1"/>
  <c r="G278" i="1"/>
  <c r="F278" i="1"/>
  <c r="U277" i="1"/>
  <c r="T277" i="1"/>
  <c r="G277" i="1"/>
  <c r="F277" i="1"/>
  <c r="U276" i="1"/>
  <c r="T276" i="1"/>
  <c r="G276" i="1"/>
  <c r="F276" i="1"/>
  <c r="U275" i="1"/>
  <c r="T275" i="1"/>
  <c r="G275" i="1"/>
  <c r="F275" i="1"/>
  <c r="U274" i="1"/>
  <c r="T274" i="1"/>
  <c r="G274" i="1"/>
  <c r="F274" i="1"/>
  <c r="U273" i="1"/>
  <c r="T273" i="1"/>
  <c r="G273" i="1"/>
  <c r="F273" i="1"/>
  <c r="U272" i="1"/>
  <c r="T272" i="1"/>
  <c r="G272" i="1"/>
  <c r="F272" i="1"/>
  <c r="U271" i="1"/>
  <c r="T271" i="1"/>
  <c r="G271" i="1"/>
  <c r="F271" i="1"/>
  <c r="U270" i="1"/>
  <c r="T270" i="1"/>
  <c r="G270" i="1"/>
  <c r="F270" i="1"/>
  <c r="U269" i="1"/>
  <c r="T269" i="1"/>
  <c r="G269" i="1"/>
  <c r="F269" i="1"/>
  <c r="U268" i="1"/>
  <c r="T268" i="1"/>
  <c r="G268" i="1"/>
  <c r="F268" i="1"/>
  <c r="U267" i="1"/>
  <c r="T267" i="1"/>
  <c r="G267" i="1"/>
  <c r="F267" i="1"/>
  <c r="U266" i="1"/>
  <c r="T266" i="1"/>
  <c r="G266" i="1"/>
  <c r="F266" i="1"/>
  <c r="U265" i="1"/>
  <c r="T265" i="1"/>
  <c r="G265" i="1"/>
  <c r="F265" i="1"/>
  <c r="U264" i="1"/>
  <c r="T264" i="1"/>
  <c r="G264" i="1"/>
  <c r="F264" i="1"/>
  <c r="U263" i="1"/>
  <c r="T263" i="1"/>
  <c r="G263" i="1"/>
  <c r="F263" i="1"/>
  <c r="U262" i="1"/>
  <c r="T262" i="1"/>
  <c r="G262" i="1"/>
  <c r="F262" i="1"/>
  <c r="U261" i="1"/>
  <c r="T261" i="1"/>
  <c r="G261" i="1"/>
  <c r="F261" i="1"/>
  <c r="U260" i="1"/>
  <c r="T260" i="1"/>
  <c r="G260" i="1"/>
  <c r="F260" i="1"/>
  <c r="U259" i="1"/>
  <c r="T259" i="1"/>
  <c r="G259" i="1"/>
  <c r="F259" i="1"/>
  <c r="U258" i="1"/>
  <c r="T258" i="1"/>
  <c r="G258" i="1"/>
  <c r="F258" i="1"/>
  <c r="U257" i="1"/>
  <c r="T257" i="1"/>
  <c r="G257" i="1"/>
  <c r="F257" i="1"/>
  <c r="U256" i="1"/>
  <c r="T256" i="1"/>
  <c r="G256" i="1"/>
  <c r="F256" i="1"/>
  <c r="U255" i="1"/>
  <c r="T255" i="1"/>
  <c r="G255" i="1"/>
  <c r="F255" i="1"/>
  <c r="U254" i="1"/>
  <c r="T254" i="1"/>
  <c r="G254" i="1"/>
  <c r="F254" i="1"/>
  <c r="U253" i="1"/>
  <c r="T253" i="1"/>
  <c r="G253" i="1"/>
  <c r="F253" i="1"/>
  <c r="U252" i="1"/>
  <c r="T252" i="1"/>
  <c r="G252" i="1"/>
  <c r="F252" i="1"/>
  <c r="U251" i="1"/>
  <c r="T251" i="1"/>
  <c r="G251" i="1"/>
  <c r="F251" i="1"/>
  <c r="U250" i="1"/>
  <c r="T250" i="1"/>
  <c r="G250" i="1"/>
  <c r="F250" i="1"/>
  <c r="U249" i="1"/>
  <c r="T249" i="1"/>
  <c r="G249" i="1"/>
  <c r="F249" i="1"/>
  <c r="U248" i="1"/>
  <c r="T248" i="1"/>
  <c r="G248" i="1"/>
  <c r="F248" i="1"/>
  <c r="U247" i="1"/>
  <c r="T247" i="1"/>
  <c r="G247" i="1"/>
  <c r="F247" i="1"/>
  <c r="U246" i="1"/>
  <c r="T246" i="1"/>
  <c r="G246" i="1"/>
  <c r="F246" i="1"/>
  <c r="U245" i="1"/>
  <c r="T245" i="1"/>
  <c r="G245" i="1"/>
  <c r="F245" i="1"/>
  <c r="U244" i="1"/>
  <c r="T244" i="1"/>
  <c r="G244" i="1"/>
  <c r="F244" i="1"/>
  <c r="U243" i="1"/>
  <c r="T243" i="1"/>
  <c r="G243" i="1"/>
  <c r="F243" i="1"/>
  <c r="U242" i="1"/>
  <c r="T242" i="1"/>
  <c r="G242" i="1"/>
  <c r="F242" i="1"/>
  <c r="U241" i="1"/>
  <c r="T241" i="1"/>
  <c r="G241" i="1"/>
  <c r="F241" i="1"/>
  <c r="U240" i="1"/>
  <c r="T240" i="1"/>
  <c r="G240" i="1"/>
  <c r="F240" i="1"/>
  <c r="U239" i="1"/>
  <c r="T239" i="1"/>
  <c r="G239" i="1"/>
  <c r="F239" i="1"/>
  <c r="U238" i="1"/>
  <c r="T238" i="1"/>
  <c r="G238" i="1"/>
  <c r="F238" i="1"/>
  <c r="U237" i="1"/>
  <c r="T237" i="1"/>
  <c r="G237" i="1"/>
  <c r="F237" i="1"/>
  <c r="U236" i="1"/>
  <c r="T236" i="1"/>
  <c r="G236" i="1"/>
  <c r="F236" i="1"/>
  <c r="U235" i="1"/>
  <c r="T235" i="1"/>
  <c r="G235" i="1"/>
  <c r="F235" i="1"/>
  <c r="U234" i="1"/>
  <c r="T234" i="1"/>
  <c r="G234" i="1"/>
  <c r="F234" i="1"/>
  <c r="U233" i="1"/>
  <c r="T233" i="1"/>
  <c r="G233" i="1"/>
  <c r="F233" i="1"/>
  <c r="U232" i="1"/>
  <c r="T232" i="1"/>
  <c r="G232" i="1"/>
  <c r="F232" i="1"/>
  <c r="U231" i="1"/>
  <c r="T231" i="1"/>
  <c r="G231" i="1"/>
  <c r="F231" i="1"/>
  <c r="U230" i="1"/>
  <c r="T230" i="1"/>
  <c r="G230" i="1"/>
  <c r="F230" i="1"/>
  <c r="U229" i="1"/>
  <c r="T229" i="1"/>
  <c r="G229" i="1"/>
  <c r="F229" i="1"/>
  <c r="U228" i="1"/>
  <c r="T228" i="1"/>
  <c r="G228" i="1"/>
  <c r="F228" i="1"/>
  <c r="U227" i="1"/>
  <c r="T227" i="1"/>
  <c r="G227" i="1"/>
  <c r="F227" i="1"/>
  <c r="U226" i="1"/>
  <c r="T226" i="1"/>
  <c r="G226" i="1"/>
  <c r="F226" i="1"/>
  <c r="U225" i="1"/>
  <c r="T225" i="1"/>
  <c r="G225" i="1"/>
  <c r="F225" i="1"/>
  <c r="U224" i="1"/>
  <c r="T224" i="1"/>
  <c r="G224" i="1"/>
  <c r="F224" i="1"/>
  <c r="U223" i="1"/>
  <c r="T223" i="1"/>
  <c r="G223" i="1"/>
  <c r="F223" i="1"/>
  <c r="U222" i="1"/>
  <c r="T222" i="1"/>
  <c r="G222" i="1"/>
  <c r="F222" i="1"/>
  <c r="U221" i="1"/>
  <c r="T221" i="1"/>
  <c r="G221" i="1"/>
  <c r="F221" i="1"/>
  <c r="U220" i="1"/>
  <c r="T220" i="1"/>
  <c r="G220" i="1"/>
  <c r="F220" i="1"/>
  <c r="U219" i="1"/>
  <c r="T219" i="1"/>
  <c r="G219" i="1"/>
  <c r="F219" i="1"/>
  <c r="U218" i="1"/>
  <c r="T218" i="1"/>
  <c r="G218" i="1"/>
  <c r="F218" i="1"/>
  <c r="U217" i="1"/>
  <c r="T217" i="1"/>
  <c r="G217" i="1"/>
  <c r="F217" i="1"/>
  <c r="U216" i="1"/>
  <c r="T216" i="1"/>
  <c r="G216" i="1"/>
  <c r="F216" i="1"/>
  <c r="U215" i="1"/>
  <c r="T215" i="1"/>
  <c r="G215" i="1"/>
  <c r="F215" i="1"/>
  <c r="U214" i="1"/>
  <c r="T214" i="1"/>
  <c r="G214" i="1"/>
  <c r="F214" i="1"/>
  <c r="U213" i="1"/>
  <c r="T213" i="1"/>
  <c r="G213" i="1"/>
  <c r="F213" i="1"/>
  <c r="U212" i="1"/>
  <c r="T212" i="1"/>
  <c r="G212" i="1"/>
  <c r="F212" i="1"/>
  <c r="U211" i="1"/>
  <c r="T211" i="1"/>
  <c r="G211" i="1"/>
  <c r="F211" i="1"/>
  <c r="U210" i="1"/>
  <c r="T210" i="1"/>
  <c r="G210" i="1"/>
  <c r="F210" i="1"/>
  <c r="U209" i="1"/>
  <c r="T209" i="1"/>
  <c r="G209" i="1"/>
  <c r="F209" i="1"/>
  <c r="U208" i="1"/>
  <c r="T208" i="1"/>
  <c r="G208" i="1"/>
  <c r="F208" i="1"/>
  <c r="U207" i="1"/>
  <c r="T207" i="1"/>
  <c r="G207" i="1"/>
  <c r="F207" i="1"/>
  <c r="U206" i="1"/>
  <c r="T206" i="1"/>
  <c r="G206" i="1"/>
  <c r="F206" i="1"/>
  <c r="U205" i="1"/>
  <c r="T205" i="1"/>
  <c r="G205" i="1"/>
  <c r="F205" i="1"/>
  <c r="U204" i="1"/>
  <c r="T204" i="1"/>
  <c r="G204" i="1"/>
  <c r="F204" i="1"/>
  <c r="U203" i="1"/>
  <c r="T203" i="1"/>
  <c r="G203" i="1"/>
  <c r="F203" i="1"/>
  <c r="U202" i="1"/>
  <c r="T202" i="1"/>
  <c r="G202" i="1"/>
  <c r="F202" i="1"/>
  <c r="U201" i="1"/>
  <c r="T201" i="1"/>
  <c r="G201" i="1"/>
  <c r="F201" i="1"/>
  <c r="U200" i="1"/>
  <c r="T200" i="1"/>
  <c r="G200" i="1"/>
  <c r="F200" i="1"/>
  <c r="U199" i="1"/>
  <c r="T199" i="1"/>
  <c r="G199" i="1"/>
  <c r="F199" i="1"/>
  <c r="U198" i="1"/>
  <c r="T198" i="1"/>
  <c r="G198" i="1"/>
  <c r="F198" i="1"/>
  <c r="U197" i="1"/>
  <c r="T197" i="1"/>
  <c r="G197" i="1"/>
  <c r="F197" i="1"/>
  <c r="U196" i="1"/>
  <c r="T196" i="1"/>
  <c r="G196" i="1"/>
  <c r="F196" i="1"/>
  <c r="U195" i="1"/>
  <c r="T195" i="1"/>
  <c r="G195" i="1"/>
  <c r="F195" i="1"/>
  <c r="U194" i="1"/>
  <c r="T194" i="1"/>
  <c r="G194" i="1"/>
  <c r="F194" i="1"/>
  <c r="U193" i="1"/>
  <c r="T193" i="1"/>
  <c r="G193" i="1"/>
  <c r="F193" i="1"/>
  <c r="U192" i="1"/>
  <c r="T192" i="1"/>
  <c r="G192" i="1"/>
  <c r="F192" i="1"/>
  <c r="U191" i="1"/>
  <c r="T191" i="1"/>
  <c r="G191" i="1"/>
  <c r="F191" i="1"/>
  <c r="U190" i="1"/>
  <c r="T190" i="1"/>
  <c r="G190" i="1"/>
  <c r="F190" i="1"/>
  <c r="U189" i="1"/>
  <c r="T189" i="1"/>
  <c r="G189" i="1"/>
  <c r="F189" i="1"/>
  <c r="U188" i="1"/>
  <c r="T188" i="1"/>
  <c r="G188" i="1"/>
  <c r="F188" i="1"/>
  <c r="U187" i="1"/>
  <c r="T187" i="1"/>
  <c r="G187" i="1"/>
  <c r="F187" i="1"/>
  <c r="U186" i="1"/>
  <c r="T186" i="1"/>
  <c r="G186" i="1"/>
  <c r="F186" i="1"/>
  <c r="U185" i="1"/>
  <c r="T185" i="1"/>
  <c r="G185" i="1"/>
  <c r="F185" i="1"/>
  <c r="U184" i="1"/>
  <c r="T184" i="1"/>
  <c r="G184" i="1"/>
  <c r="F184" i="1"/>
  <c r="U183" i="1"/>
  <c r="T183" i="1"/>
  <c r="G183" i="1"/>
  <c r="F183" i="1"/>
  <c r="U182" i="1"/>
  <c r="T182" i="1"/>
  <c r="G182" i="1"/>
  <c r="F182" i="1"/>
  <c r="U181" i="1"/>
  <c r="T181" i="1"/>
  <c r="G181" i="1"/>
  <c r="F181" i="1"/>
  <c r="U180" i="1"/>
  <c r="T180" i="1"/>
  <c r="G180" i="1"/>
  <c r="F180" i="1"/>
  <c r="U179" i="1"/>
  <c r="T179" i="1"/>
  <c r="G179" i="1"/>
  <c r="F179" i="1"/>
  <c r="U178" i="1"/>
  <c r="T178" i="1"/>
  <c r="G178" i="1"/>
  <c r="F178" i="1"/>
  <c r="U177" i="1"/>
  <c r="T177" i="1"/>
  <c r="G177" i="1"/>
  <c r="F177" i="1"/>
  <c r="U176" i="1"/>
  <c r="T176" i="1"/>
  <c r="G176" i="1"/>
  <c r="F176" i="1"/>
  <c r="U175" i="1"/>
  <c r="T175" i="1"/>
  <c r="G175" i="1"/>
  <c r="F175" i="1"/>
  <c r="U174" i="1"/>
  <c r="T174" i="1"/>
  <c r="G174" i="1"/>
  <c r="F174" i="1"/>
  <c r="U173" i="1"/>
  <c r="T173" i="1"/>
  <c r="G173" i="1"/>
  <c r="F173" i="1"/>
  <c r="U172" i="1"/>
  <c r="T172" i="1"/>
  <c r="G172" i="1"/>
  <c r="F172" i="1"/>
  <c r="U171" i="1"/>
  <c r="T171" i="1"/>
  <c r="G171" i="1"/>
  <c r="F171" i="1"/>
  <c r="U170" i="1"/>
  <c r="T170" i="1"/>
  <c r="G170" i="1"/>
  <c r="F170" i="1"/>
  <c r="U169" i="1"/>
  <c r="T169" i="1"/>
  <c r="G169" i="1"/>
  <c r="F169" i="1"/>
  <c r="U168" i="1"/>
  <c r="T168" i="1"/>
  <c r="G168" i="1"/>
  <c r="F168" i="1"/>
  <c r="U167" i="1"/>
  <c r="T167" i="1"/>
  <c r="G167" i="1"/>
  <c r="F167" i="1"/>
  <c r="U166" i="1"/>
  <c r="T166" i="1"/>
  <c r="G166" i="1"/>
  <c r="F166" i="1"/>
  <c r="U165" i="1"/>
  <c r="T165" i="1"/>
  <c r="G165" i="1"/>
  <c r="F165" i="1"/>
  <c r="U164" i="1"/>
  <c r="T164" i="1"/>
  <c r="G164" i="1"/>
  <c r="F164" i="1"/>
  <c r="U163" i="1"/>
  <c r="T163" i="1"/>
  <c r="G163" i="1"/>
  <c r="F163" i="1"/>
  <c r="U162" i="1"/>
  <c r="T162" i="1"/>
  <c r="G162" i="1"/>
  <c r="F162" i="1"/>
  <c r="U161" i="1"/>
  <c r="T161" i="1"/>
  <c r="G161" i="1"/>
  <c r="F161" i="1"/>
  <c r="U160" i="1"/>
  <c r="T160" i="1"/>
  <c r="G160" i="1"/>
  <c r="F160" i="1"/>
  <c r="U159" i="1"/>
  <c r="T159" i="1"/>
  <c r="G159" i="1"/>
  <c r="F159" i="1"/>
  <c r="U158" i="1"/>
  <c r="T158" i="1"/>
  <c r="G158" i="1"/>
  <c r="F158" i="1"/>
  <c r="U157" i="1"/>
  <c r="T157" i="1"/>
  <c r="G157" i="1"/>
  <c r="F157" i="1"/>
  <c r="U156" i="1"/>
  <c r="T156" i="1"/>
  <c r="G156" i="1"/>
  <c r="F156" i="1"/>
  <c r="U155" i="1"/>
  <c r="T155" i="1"/>
  <c r="G155" i="1"/>
  <c r="F155" i="1"/>
  <c r="U154" i="1"/>
  <c r="T154" i="1"/>
  <c r="G154" i="1"/>
  <c r="F154" i="1"/>
  <c r="U153" i="1"/>
  <c r="T153" i="1"/>
  <c r="G153" i="1"/>
  <c r="F153" i="1"/>
  <c r="U152" i="1"/>
  <c r="T152" i="1"/>
  <c r="G152" i="1"/>
  <c r="F152" i="1"/>
  <c r="U151" i="1"/>
  <c r="T151" i="1"/>
  <c r="G151" i="1"/>
  <c r="F151" i="1"/>
  <c r="U150" i="1"/>
  <c r="T150" i="1"/>
  <c r="G150" i="1"/>
  <c r="F150" i="1"/>
  <c r="U149" i="1"/>
  <c r="T149" i="1"/>
  <c r="G149" i="1"/>
  <c r="F149" i="1"/>
  <c r="U148" i="1"/>
  <c r="T148" i="1"/>
  <c r="G148" i="1"/>
  <c r="F148" i="1"/>
  <c r="U147" i="1"/>
  <c r="T147" i="1"/>
  <c r="G147" i="1"/>
  <c r="F147" i="1"/>
  <c r="U146" i="1"/>
  <c r="T146" i="1"/>
  <c r="G146" i="1"/>
  <c r="F146" i="1"/>
  <c r="U145" i="1"/>
  <c r="T145" i="1"/>
  <c r="G145" i="1"/>
  <c r="F145" i="1"/>
  <c r="U144" i="1"/>
  <c r="T144" i="1"/>
  <c r="G144" i="1"/>
  <c r="F144" i="1"/>
  <c r="U143" i="1"/>
  <c r="T143" i="1"/>
  <c r="G143" i="1"/>
  <c r="F143" i="1"/>
  <c r="U142" i="1"/>
  <c r="T142" i="1"/>
  <c r="G142" i="1"/>
  <c r="F142" i="1"/>
  <c r="U141" i="1"/>
  <c r="T141" i="1"/>
  <c r="G141" i="1"/>
  <c r="F141" i="1"/>
  <c r="U140" i="1"/>
  <c r="T140" i="1"/>
  <c r="G140" i="1"/>
  <c r="F140" i="1"/>
  <c r="U139" i="1"/>
  <c r="T139" i="1"/>
  <c r="G139" i="1"/>
  <c r="F139" i="1"/>
  <c r="U138" i="1"/>
  <c r="T138" i="1"/>
  <c r="G138" i="1"/>
  <c r="F138" i="1"/>
  <c r="U137" i="1"/>
  <c r="T137" i="1"/>
  <c r="G137" i="1"/>
  <c r="F137" i="1"/>
  <c r="U136" i="1"/>
  <c r="T136" i="1"/>
  <c r="G136" i="1"/>
  <c r="F136" i="1"/>
  <c r="U135" i="1"/>
  <c r="T135" i="1"/>
  <c r="G135" i="1"/>
  <c r="F135" i="1"/>
  <c r="U134" i="1"/>
  <c r="T134" i="1"/>
  <c r="G134" i="1"/>
  <c r="F134" i="1"/>
  <c r="U133" i="1"/>
  <c r="T133" i="1"/>
  <c r="G133" i="1"/>
  <c r="F133" i="1"/>
  <c r="U132" i="1"/>
  <c r="T132" i="1"/>
  <c r="G132" i="1"/>
  <c r="F132" i="1"/>
  <c r="U131" i="1"/>
  <c r="T131" i="1"/>
  <c r="G131" i="1"/>
  <c r="F131" i="1"/>
  <c r="U130" i="1"/>
  <c r="T130" i="1"/>
  <c r="G130" i="1"/>
  <c r="F130" i="1"/>
  <c r="U129" i="1"/>
  <c r="T129" i="1"/>
  <c r="G129" i="1"/>
  <c r="F129" i="1"/>
  <c r="U128" i="1"/>
  <c r="T128" i="1"/>
  <c r="G128" i="1"/>
  <c r="F128" i="1"/>
  <c r="U127" i="1"/>
  <c r="T127" i="1"/>
  <c r="G127" i="1"/>
  <c r="F127" i="1"/>
  <c r="U126" i="1"/>
  <c r="T126" i="1"/>
  <c r="G126" i="1"/>
  <c r="F126" i="1"/>
  <c r="U125" i="1"/>
  <c r="T125" i="1"/>
  <c r="G125" i="1"/>
  <c r="F125" i="1"/>
  <c r="U124" i="1"/>
  <c r="T124" i="1"/>
  <c r="G124" i="1"/>
  <c r="F124" i="1"/>
  <c r="U123" i="1"/>
  <c r="T123" i="1"/>
  <c r="G123" i="1"/>
  <c r="F123" i="1"/>
  <c r="U122" i="1"/>
  <c r="T122" i="1"/>
  <c r="G122" i="1"/>
  <c r="F122" i="1"/>
  <c r="U121" i="1"/>
  <c r="T121" i="1"/>
  <c r="G121" i="1"/>
  <c r="F121" i="1"/>
  <c r="U120" i="1"/>
  <c r="T120" i="1"/>
  <c r="G120" i="1"/>
  <c r="F120" i="1"/>
  <c r="U119" i="1"/>
  <c r="T119" i="1"/>
  <c r="G119" i="1"/>
  <c r="F119" i="1"/>
  <c r="U118" i="1"/>
  <c r="T118" i="1"/>
  <c r="G118" i="1"/>
  <c r="F118" i="1"/>
  <c r="U117" i="1"/>
  <c r="T117" i="1"/>
  <c r="G117" i="1"/>
  <c r="F117" i="1"/>
  <c r="U116" i="1"/>
  <c r="T116" i="1"/>
  <c r="G116" i="1"/>
  <c r="F116" i="1"/>
  <c r="U115" i="1"/>
  <c r="T115" i="1"/>
  <c r="G115" i="1"/>
  <c r="F115" i="1"/>
  <c r="U114" i="1"/>
  <c r="T114" i="1"/>
  <c r="G114" i="1"/>
  <c r="F114" i="1"/>
  <c r="U113" i="1"/>
  <c r="T113" i="1"/>
  <c r="G113" i="1"/>
  <c r="F113" i="1"/>
  <c r="U112" i="1"/>
  <c r="T112" i="1"/>
  <c r="G112" i="1"/>
  <c r="F112" i="1"/>
  <c r="U111" i="1"/>
  <c r="T111" i="1"/>
  <c r="G111" i="1"/>
  <c r="F111" i="1"/>
  <c r="U110" i="1"/>
  <c r="T110" i="1"/>
  <c r="G110" i="1"/>
  <c r="F110" i="1"/>
  <c r="U109" i="1"/>
  <c r="T109" i="1"/>
  <c r="G109" i="1"/>
  <c r="F109" i="1"/>
  <c r="U108" i="1"/>
  <c r="T108" i="1"/>
  <c r="G108" i="1"/>
  <c r="F108" i="1"/>
  <c r="U107" i="1"/>
  <c r="T107" i="1"/>
  <c r="G107" i="1"/>
  <c r="F107" i="1"/>
  <c r="U106" i="1"/>
  <c r="T106" i="1"/>
  <c r="G106" i="1"/>
  <c r="F106" i="1"/>
  <c r="U105" i="1"/>
  <c r="T105" i="1"/>
  <c r="G105" i="1"/>
  <c r="F105" i="1"/>
  <c r="U104" i="1"/>
  <c r="T104" i="1"/>
  <c r="G104" i="1"/>
  <c r="F104" i="1"/>
  <c r="U103" i="1"/>
  <c r="T103" i="1"/>
  <c r="G103" i="1"/>
  <c r="F103" i="1"/>
  <c r="U102" i="1"/>
  <c r="T102" i="1"/>
  <c r="G102" i="1"/>
  <c r="F102" i="1"/>
  <c r="U101" i="1"/>
  <c r="T101" i="1"/>
  <c r="G101" i="1"/>
  <c r="F101" i="1"/>
  <c r="U100" i="1"/>
  <c r="T100" i="1"/>
  <c r="G100" i="1"/>
  <c r="F100" i="1"/>
  <c r="U99" i="1"/>
  <c r="T99" i="1"/>
  <c r="G99" i="1"/>
  <c r="F99" i="1"/>
  <c r="U98" i="1"/>
  <c r="T98" i="1"/>
  <c r="G98" i="1"/>
  <c r="F98" i="1"/>
  <c r="U97" i="1"/>
  <c r="T97" i="1"/>
  <c r="G97" i="1"/>
  <c r="F97" i="1"/>
  <c r="U96" i="1"/>
  <c r="T96" i="1"/>
  <c r="G96" i="1"/>
  <c r="F96" i="1"/>
  <c r="U95" i="1"/>
  <c r="T95" i="1"/>
  <c r="G95" i="1"/>
  <c r="F95" i="1"/>
  <c r="U94" i="1"/>
  <c r="T94" i="1"/>
  <c r="G94" i="1"/>
  <c r="F94" i="1"/>
  <c r="U93" i="1"/>
  <c r="T93" i="1"/>
  <c r="G93" i="1"/>
  <c r="F93" i="1"/>
  <c r="U92" i="1"/>
  <c r="T92" i="1"/>
  <c r="G92" i="1"/>
  <c r="F92" i="1"/>
  <c r="U91" i="1"/>
  <c r="T91" i="1"/>
  <c r="G91" i="1"/>
  <c r="F91" i="1"/>
  <c r="U90" i="1"/>
  <c r="T90" i="1"/>
  <c r="G90" i="1"/>
  <c r="F90" i="1"/>
  <c r="U89" i="1"/>
  <c r="T89" i="1"/>
  <c r="G89" i="1"/>
  <c r="F89" i="1"/>
  <c r="U88" i="1"/>
  <c r="T88" i="1"/>
  <c r="G88" i="1"/>
  <c r="F88" i="1"/>
  <c r="U87" i="1"/>
  <c r="T87" i="1"/>
  <c r="G87" i="1"/>
  <c r="F87" i="1"/>
  <c r="U86" i="1"/>
  <c r="T86" i="1"/>
  <c r="G86" i="1"/>
  <c r="F86" i="1"/>
  <c r="U85" i="1"/>
  <c r="T85" i="1"/>
  <c r="G85" i="1"/>
  <c r="F85" i="1"/>
  <c r="U84" i="1"/>
  <c r="T84" i="1"/>
  <c r="G84" i="1"/>
  <c r="F84" i="1"/>
  <c r="U82" i="1"/>
  <c r="T82" i="1"/>
  <c r="G82" i="1"/>
  <c r="F82" i="1"/>
  <c r="U81" i="1"/>
  <c r="T81" i="1"/>
  <c r="G81" i="1"/>
  <c r="F81" i="1"/>
  <c r="U80" i="1"/>
  <c r="T80" i="1"/>
  <c r="G80" i="1"/>
  <c r="F80" i="1"/>
  <c r="U79" i="1"/>
  <c r="T79" i="1"/>
  <c r="G79" i="1"/>
  <c r="F79" i="1"/>
  <c r="U78" i="1"/>
  <c r="T78" i="1"/>
  <c r="G78" i="1"/>
  <c r="F78" i="1"/>
  <c r="U77" i="1"/>
  <c r="T77" i="1"/>
  <c r="G77" i="1"/>
  <c r="F77" i="1"/>
  <c r="U76" i="1"/>
  <c r="T76" i="1"/>
  <c r="G76" i="1"/>
  <c r="F76" i="1"/>
  <c r="U75" i="1"/>
  <c r="T75" i="1"/>
  <c r="G75" i="1"/>
  <c r="F75" i="1"/>
  <c r="U74" i="1"/>
  <c r="T74" i="1"/>
  <c r="G74" i="1"/>
  <c r="F74" i="1"/>
  <c r="U73" i="1"/>
  <c r="T73" i="1"/>
  <c r="G73" i="1"/>
  <c r="F73" i="1"/>
  <c r="U72" i="1"/>
  <c r="T72" i="1"/>
  <c r="G72" i="1"/>
  <c r="F72" i="1"/>
  <c r="U71" i="1"/>
  <c r="T71" i="1"/>
  <c r="G71" i="1"/>
  <c r="F71" i="1"/>
  <c r="U70" i="1"/>
  <c r="T70" i="1"/>
  <c r="G70" i="1"/>
  <c r="F70" i="1"/>
  <c r="U69" i="1"/>
  <c r="T69" i="1"/>
  <c r="G69" i="1"/>
  <c r="F69" i="1"/>
  <c r="U68" i="1"/>
  <c r="T68" i="1"/>
  <c r="G68" i="1"/>
  <c r="F68" i="1"/>
  <c r="U67" i="1"/>
  <c r="T67" i="1"/>
  <c r="G67" i="1"/>
  <c r="F67" i="1"/>
  <c r="U66" i="1"/>
  <c r="T66" i="1"/>
  <c r="G66" i="1"/>
  <c r="F66" i="1"/>
  <c r="U65" i="1"/>
  <c r="T65" i="1"/>
  <c r="G65" i="1"/>
  <c r="F65" i="1"/>
  <c r="U64" i="1"/>
  <c r="T64" i="1"/>
  <c r="G64" i="1"/>
  <c r="F64" i="1"/>
  <c r="U63" i="1"/>
  <c r="T63" i="1"/>
  <c r="G63" i="1"/>
  <c r="F63" i="1"/>
  <c r="U62" i="1"/>
  <c r="T62" i="1"/>
  <c r="G62" i="1"/>
  <c r="F62" i="1"/>
  <c r="U61" i="1"/>
  <c r="T61" i="1"/>
  <c r="G61" i="1"/>
  <c r="F61" i="1"/>
  <c r="U60" i="1"/>
  <c r="T60" i="1"/>
  <c r="G60" i="1"/>
  <c r="F60" i="1"/>
  <c r="U59" i="1"/>
  <c r="T59" i="1"/>
  <c r="G59" i="1"/>
  <c r="F59" i="1"/>
  <c r="U58" i="1"/>
  <c r="T58" i="1"/>
  <c r="G58" i="1"/>
  <c r="F58" i="1"/>
  <c r="U57" i="1"/>
  <c r="T57" i="1"/>
  <c r="G57" i="1"/>
  <c r="F57" i="1"/>
  <c r="U56" i="1"/>
  <c r="T56" i="1"/>
  <c r="G56" i="1"/>
  <c r="F56" i="1"/>
  <c r="U55" i="1"/>
  <c r="T55" i="1"/>
  <c r="G55" i="1"/>
  <c r="F55" i="1"/>
  <c r="U54" i="1"/>
  <c r="T54" i="1"/>
  <c r="G54" i="1"/>
  <c r="F54" i="1"/>
  <c r="U53" i="1"/>
  <c r="T53" i="1"/>
  <c r="G53" i="1"/>
  <c r="F53" i="1"/>
  <c r="U52" i="1"/>
  <c r="T52" i="1"/>
  <c r="G52" i="1"/>
  <c r="F52" i="1"/>
  <c r="U51" i="1"/>
  <c r="T51" i="1"/>
  <c r="G51" i="1"/>
  <c r="F51" i="1"/>
  <c r="U50" i="1"/>
  <c r="T50" i="1"/>
  <c r="G50" i="1"/>
  <c r="F50" i="1"/>
  <c r="U49" i="1"/>
  <c r="T49" i="1"/>
  <c r="G49" i="1"/>
  <c r="F49" i="1"/>
  <c r="U48" i="1"/>
  <c r="T48" i="1"/>
  <c r="G48" i="1"/>
  <c r="F48" i="1"/>
  <c r="U47" i="1"/>
  <c r="T47" i="1"/>
  <c r="G47" i="1"/>
  <c r="F47" i="1"/>
  <c r="U46" i="1"/>
  <c r="T46" i="1"/>
  <c r="G46" i="1"/>
  <c r="F46" i="1"/>
  <c r="U45" i="1"/>
  <c r="T45" i="1"/>
  <c r="G45" i="1"/>
  <c r="F45" i="1"/>
  <c r="U44" i="1"/>
  <c r="T44" i="1"/>
  <c r="G44" i="1"/>
  <c r="F44" i="1"/>
  <c r="U43" i="1"/>
  <c r="T43" i="1"/>
  <c r="G43" i="1"/>
  <c r="F43" i="1"/>
  <c r="U42" i="1"/>
  <c r="T42" i="1"/>
  <c r="G42" i="1"/>
  <c r="F42" i="1"/>
  <c r="U41" i="1"/>
  <c r="T41" i="1"/>
  <c r="G41" i="1"/>
  <c r="F41" i="1"/>
  <c r="U40" i="1"/>
  <c r="T40" i="1"/>
  <c r="G40" i="1"/>
  <c r="F40" i="1"/>
  <c r="U39" i="1"/>
  <c r="T39" i="1"/>
  <c r="G39" i="1"/>
  <c r="F39" i="1"/>
  <c r="U38" i="1"/>
  <c r="T38" i="1"/>
  <c r="G38" i="1"/>
  <c r="F38" i="1"/>
  <c r="U37" i="1"/>
  <c r="T37" i="1"/>
  <c r="G37" i="1"/>
  <c r="F37" i="1"/>
  <c r="U36" i="1"/>
  <c r="T36" i="1"/>
  <c r="G36" i="1"/>
  <c r="F36" i="1"/>
  <c r="U35" i="1"/>
  <c r="T35" i="1"/>
  <c r="G35" i="1"/>
  <c r="F35" i="1"/>
  <c r="U34" i="1"/>
  <c r="T34" i="1"/>
  <c r="G34" i="1"/>
  <c r="F34" i="1"/>
  <c r="U33" i="1"/>
  <c r="T33" i="1"/>
  <c r="G33" i="1"/>
  <c r="F33" i="1"/>
  <c r="U32" i="1"/>
  <c r="T32" i="1"/>
  <c r="G32" i="1"/>
  <c r="F32" i="1"/>
  <c r="U31" i="1"/>
  <c r="T31" i="1"/>
  <c r="G31" i="1"/>
  <c r="F31" i="1"/>
  <c r="U30" i="1"/>
  <c r="T30" i="1"/>
  <c r="G30" i="1"/>
  <c r="F30" i="1"/>
  <c r="U29" i="1"/>
  <c r="T29" i="1"/>
  <c r="G29" i="1"/>
  <c r="F29" i="1"/>
  <c r="U28" i="1"/>
  <c r="T28" i="1"/>
  <c r="G28" i="1"/>
  <c r="F28" i="1"/>
  <c r="U27" i="1"/>
  <c r="T27" i="1"/>
  <c r="G27" i="1"/>
  <c r="F27" i="1"/>
  <c r="U26" i="1"/>
  <c r="T26" i="1"/>
  <c r="G26" i="1"/>
  <c r="F26" i="1"/>
  <c r="U25" i="1"/>
  <c r="T25" i="1"/>
  <c r="G25" i="1"/>
  <c r="F25" i="1"/>
  <c r="U24" i="1"/>
  <c r="T24" i="1"/>
  <c r="G24" i="1"/>
  <c r="F24" i="1"/>
  <c r="U23" i="1"/>
  <c r="T23" i="1"/>
  <c r="G23" i="1"/>
  <c r="F23" i="1"/>
  <c r="U22" i="1"/>
  <c r="T22" i="1"/>
  <c r="G22" i="1"/>
  <c r="F22" i="1"/>
  <c r="U21" i="1"/>
  <c r="T21" i="1"/>
  <c r="G21" i="1"/>
  <c r="F21" i="1"/>
  <c r="U20" i="1"/>
  <c r="T20" i="1"/>
  <c r="G20" i="1"/>
  <c r="F20" i="1"/>
  <c r="U19" i="1"/>
  <c r="T19" i="1"/>
  <c r="G19" i="1"/>
  <c r="F19" i="1"/>
  <c r="U18" i="1"/>
  <c r="T18" i="1"/>
  <c r="G18" i="1"/>
  <c r="F18" i="1"/>
  <c r="U17" i="1"/>
  <c r="T17" i="1"/>
  <c r="G17" i="1"/>
  <c r="F17" i="1"/>
  <c r="U16" i="1"/>
  <c r="T16" i="1"/>
  <c r="G16" i="1"/>
  <c r="F16" i="1"/>
  <c r="U15" i="1"/>
  <c r="T15" i="1"/>
  <c r="G15" i="1"/>
  <c r="F15" i="1"/>
  <c r="U14" i="1"/>
  <c r="T14" i="1"/>
  <c r="G14" i="1"/>
  <c r="F14" i="1"/>
  <c r="U13" i="1"/>
  <c r="T13" i="1"/>
  <c r="G13" i="1"/>
  <c r="F13" i="1"/>
  <c r="U12" i="1"/>
  <c r="T12" i="1"/>
  <c r="G12" i="1"/>
  <c r="F12" i="1"/>
  <c r="U11" i="1"/>
  <c r="T11" i="1"/>
  <c r="G11" i="1"/>
  <c r="F11" i="1"/>
  <c r="U10" i="1"/>
  <c r="T10" i="1"/>
  <c r="G10" i="1"/>
  <c r="F10" i="1"/>
  <c r="U9" i="1"/>
  <c r="T9" i="1"/>
  <c r="G9" i="1"/>
  <c r="F9" i="1"/>
  <c r="U8" i="1"/>
  <c r="T8" i="1"/>
  <c r="G8" i="1"/>
  <c r="F8" i="1"/>
  <c r="U7" i="1"/>
  <c r="T7" i="1"/>
  <c r="G7" i="1"/>
  <c r="F7" i="1"/>
  <c r="U1" i="1"/>
  <c r="T1" i="1"/>
  <c r="G1" i="1"/>
  <c r="F1" i="1"/>
  <c r="H458" i="18" l="1"/>
  <c r="G458" i="18"/>
  <c r="F458" i="18"/>
  <c r="E458" i="18"/>
  <c r="C458" i="18"/>
  <c r="B458" i="18"/>
  <c r="H457" i="18"/>
  <c r="G457" i="18"/>
  <c r="F457" i="18"/>
  <c r="E457" i="18"/>
  <c r="C457" i="18"/>
  <c r="B457" i="18"/>
  <c r="H456" i="18"/>
  <c r="G456" i="18"/>
  <c r="F456" i="18"/>
  <c r="E456" i="18"/>
  <c r="C456" i="18"/>
  <c r="B456" i="18"/>
  <c r="H455" i="18"/>
  <c r="G455" i="18"/>
  <c r="F455" i="18"/>
  <c r="E455" i="18"/>
  <c r="C455" i="18"/>
  <c r="B455" i="18"/>
  <c r="H453" i="18"/>
  <c r="G453" i="18"/>
  <c r="F453" i="18"/>
  <c r="E453" i="18"/>
  <c r="C453" i="18"/>
  <c r="B453" i="18"/>
  <c r="H452" i="18"/>
  <c r="G452" i="18"/>
  <c r="F452" i="18"/>
  <c r="E452" i="18"/>
  <c r="C452" i="18"/>
  <c r="O19" i="20" s="1"/>
  <c r="B452" i="18"/>
  <c r="H451" i="18"/>
  <c r="G451" i="18"/>
  <c r="F451" i="18"/>
  <c r="E451" i="18"/>
  <c r="C451" i="18"/>
  <c r="B451" i="18"/>
  <c r="H450" i="18"/>
  <c r="G450" i="18"/>
  <c r="F450" i="18"/>
  <c r="E450" i="18"/>
  <c r="C450" i="18"/>
  <c r="B450" i="18"/>
  <c r="H448" i="18"/>
  <c r="G448" i="18"/>
  <c r="F448" i="18"/>
  <c r="E448" i="18"/>
  <c r="C448" i="18"/>
  <c r="B448" i="18"/>
  <c r="H447" i="18"/>
  <c r="G447" i="18"/>
  <c r="F447" i="18"/>
  <c r="E447" i="18"/>
  <c r="C447" i="18"/>
  <c r="B447" i="18"/>
  <c r="H446" i="18"/>
  <c r="G446" i="18"/>
  <c r="F446" i="18"/>
  <c r="E446" i="18"/>
  <c r="C446" i="18"/>
  <c r="B446" i="18"/>
  <c r="H445" i="18"/>
  <c r="G445" i="18"/>
  <c r="F445" i="18"/>
  <c r="E445" i="18"/>
  <c r="D445" i="18" s="1"/>
  <c r="O40" i="20" s="1"/>
  <c r="C445" i="18"/>
  <c r="B445" i="18"/>
  <c r="H443" i="18"/>
  <c r="G443" i="18"/>
  <c r="F443" i="18"/>
  <c r="E443" i="18"/>
  <c r="C443" i="18"/>
  <c r="B443" i="18"/>
  <c r="H442" i="18"/>
  <c r="G442" i="18"/>
  <c r="F442" i="18"/>
  <c r="E442" i="18"/>
  <c r="C442" i="18"/>
  <c r="B442" i="18"/>
  <c r="H441" i="18"/>
  <c r="G441" i="18"/>
  <c r="F441" i="18"/>
  <c r="E441" i="18"/>
  <c r="C441" i="18"/>
  <c r="B441" i="18"/>
  <c r="H440" i="18"/>
  <c r="G440" i="18"/>
  <c r="F440" i="18"/>
  <c r="E440" i="18"/>
  <c r="C440" i="18"/>
  <c r="B440" i="18"/>
  <c r="H428" i="18"/>
  <c r="G428" i="18"/>
  <c r="F428" i="18"/>
  <c r="D428" i="18" s="1"/>
  <c r="N53" i="20" s="1"/>
  <c r="E428" i="18"/>
  <c r="C428" i="18"/>
  <c r="B428" i="18"/>
  <c r="H427" i="18"/>
  <c r="G427" i="18"/>
  <c r="F427" i="18"/>
  <c r="E427" i="18"/>
  <c r="C427" i="18"/>
  <c r="N24" i="20" s="1"/>
  <c r="B427" i="18"/>
  <c r="H426" i="18"/>
  <c r="G426" i="18"/>
  <c r="F426" i="18"/>
  <c r="E426" i="18"/>
  <c r="C426" i="18"/>
  <c r="B426" i="18"/>
  <c r="H425" i="18"/>
  <c r="G425" i="18"/>
  <c r="F425" i="18"/>
  <c r="E425" i="18"/>
  <c r="C425" i="18"/>
  <c r="B425" i="18"/>
  <c r="H423" i="18"/>
  <c r="G423" i="18"/>
  <c r="F423" i="18"/>
  <c r="E423" i="18"/>
  <c r="C423" i="18"/>
  <c r="B423" i="18"/>
  <c r="H422" i="18"/>
  <c r="G422" i="18"/>
  <c r="F422" i="18"/>
  <c r="E422" i="18"/>
  <c r="C422" i="18"/>
  <c r="B422" i="18"/>
  <c r="H421" i="18"/>
  <c r="G421" i="18"/>
  <c r="F421" i="18"/>
  <c r="E421" i="18"/>
  <c r="C421" i="18"/>
  <c r="B421" i="18"/>
  <c r="H420" i="18"/>
  <c r="G420" i="18"/>
  <c r="F420" i="18"/>
  <c r="E420" i="18"/>
  <c r="C420" i="18"/>
  <c r="B420" i="18"/>
  <c r="H418" i="18"/>
  <c r="G418" i="18"/>
  <c r="F418" i="18"/>
  <c r="E418" i="18"/>
  <c r="C418" i="18"/>
  <c r="B418" i="18"/>
  <c r="H417" i="18"/>
  <c r="G417" i="18"/>
  <c r="F417" i="18"/>
  <c r="E417" i="18"/>
  <c r="C417" i="18"/>
  <c r="B417" i="18"/>
  <c r="H416" i="18"/>
  <c r="G416" i="18"/>
  <c r="F416" i="18"/>
  <c r="E416" i="18"/>
  <c r="C416" i="18"/>
  <c r="B416" i="18"/>
  <c r="H415" i="18"/>
  <c r="G415" i="18"/>
  <c r="F415" i="18"/>
  <c r="E415" i="18"/>
  <c r="C415" i="18"/>
  <c r="B415" i="18"/>
  <c r="H413" i="18"/>
  <c r="G413" i="18"/>
  <c r="F413" i="18"/>
  <c r="D413" i="18" s="1"/>
  <c r="E413" i="18"/>
  <c r="C413" i="18"/>
  <c r="B413" i="18"/>
  <c r="H412" i="18"/>
  <c r="G412" i="18"/>
  <c r="F412" i="18"/>
  <c r="E412" i="18"/>
  <c r="C412" i="18"/>
  <c r="B412" i="18"/>
  <c r="H411" i="18"/>
  <c r="G411" i="18"/>
  <c r="F411" i="18"/>
  <c r="E411" i="18"/>
  <c r="C411" i="18"/>
  <c r="B411" i="18"/>
  <c r="H410" i="18"/>
  <c r="G410" i="18"/>
  <c r="F410" i="18"/>
  <c r="E410" i="18"/>
  <c r="C410" i="18"/>
  <c r="B410" i="18"/>
  <c r="H398" i="18"/>
  <c r="G398" i="18"/>
  <c r="F398" i="18"/>
  <c r="D398" i="18" s="1"/>
  <c r="P53" i="20" s="1"/>
  <c r="E398" i="18"/>
  <c r="C398" i="18"/>
  <c r="B398" i="18"/>
  <c r="H397" i="18"/>
  <c r="G397" i="18"/>
  <c r="F397" i="18"/>
  <c r="E397" i="18"/>
  <c r="C397" i="18"/>
  <c r="B397" i="18"/>
  <c r="H396" i="18"/>
  <c r="G396" i="18"/>
  <c r="F396" i="18"/>
  <c r="E396" i="18"/>
  <c r="C396" i="18"/>
  <c r="B396" i="18"/>
  <c r="H395" i="18"/>
  <c r="G395" i="18"/>
  <c r="F395" i="18"/>
  <c r="E395" i="18"/>
  <c r="C395" i="18"/>
  <c r="B395" i="18"/>
  <c r="H393" i="18"/>
  <c r="G393" i="18"/>
  <c r="F393" i="18"/>
  <c r="E393" i="18"/>
  <c r="C393" i="18"/>
  <c r="B393" i="18"/>
  <c r="H392" i="18"/>
  <c r="G392" i="18"/>
  <c r="F392" i="18"/>
  <c r="E392" i="18"/>
  <c r="C392" i="18"/>
  <c r="B392" i="18"/>
  <c r="H391" i="18"/>
  <c r="G391" i="18"/>
  <c r="F391" i="18"/>
  <c r="E391" i="18"/>
  <c r="C391" i="18"/>
  <c r="B391" i="18"/>
  <c r="H390" i="18"/>
  <c r="G390" i="18"/>
  <c r="F390" i="18"/>
  <c r="E390" i="18"/>
  <c r="C390" i="18"/>
  <c r="B390" i="18"/>
  <c r="H388" i="18"/>
  <c r="G388" i="18"/>
  <c r="F388" i="18"/>
  <c r="E388" i="18"/>
  <c r="C388" i="18"/>
  <c r="B388" i="18"/>
  <c r="H387" i="18"/>
  <c r="G387" i="18"/>
  <c r="F387" i="18"/>
  <c r="E387" i="18"/>
  <c r="C387" i="18"/>
  <c r="B387" i="18"/>
  <c r="H386" i="18"/>
  <c r="G386" i="18"/>
  <c r="F386" i="18"/>
  <c r="E386" i="18"/>
  <c r="C386" i="18"/>
  <c r="B386" i="18"/>
  <c r="H385" i="18"/>
  <c r="G385" i="18"/>
  <c r="F385" i="18"/>
  <c r="E385" i="18"/>
  <c r="C385" i="18"/>
  <c r="B385" i="18"/>
  <c r="H383" i="18"/>
  <c r="G383" i="18"/>
  <c r="F383" i="18"/>
  <c r="D383" i="18" s="1"/>
  <c r="P38" i="20" s="1"/>
  <c r="E383" i="18"/>
  <c r="C383" i="18"/>
  <c r="B383" i="18"/>
  <c r="H382" i="18"/>
  <c r="G382" i="18"/>
  <c r="F382" i="18"/>
  <c r="E382" i="18"/>
  <c r="C382" i="18"/>
  <c r="B382" i="18"/>
  <c r="H381" i="18"/>
  <c r="G381" i="18"/>
  <c r="F381" i="18"/>
  <c r="E381" i="18"/>
  <c r="C381" i="18"/>
  <c r="B381" i="18"/>
  <c r="H380" i="18"/>
  <c r="G380" i="18"/>
  <c r="F380" i="18"/>
  <c r="E380" i="18"/>
  <c r="C380" i="18"/>
  <c r="B380" i="18"/>
  <c r="H367" i="18"/>
  <c r="G367" i="18"/>
  <c r="F367" i="18"/>
  <c r="D367" i="18" s="1"/>
  <c r="L53" i="20" s="1"/>
  <c r="E367" i="18"/>
  <c r="C367" i="18"/>
  <c r="B367" i="18"/>
  <c r="H366" i="18"/>
  <c r="G366" i="18"/>
  <c r="F366" i="18"/>
  <c r="E366" i="18"/>
  <c r="C366" i="18"/>
  <c r="B366" i="18"/>
  <c r="H365" i="18"/>
  <c r="G365" i="18"/>
  <c r="F365" i="18"/>
  <c r="E365" i="18"/>
  <c r="C365" i="18"/>
  <c r="B365" i="18"/>
  <c r="H364" i="18"/>
  <c r="G364" i="18"/>
  <c r="F364" i="18"/>
  <c r="E364" i="18"/>
  <c r="C364" i="18"/>
  <c r="B364" i="18"/>
  <c r="H362" i="18"/>
  <c r="G362" i="18"/>
  <c r="F362" i="18"/>
  <c r="E362" i="18"/>
  <c r="C362" i="18"/>
  <c r="B362" i="18"/>
  <c r="H361" i="18"/>
  <c r="G361" i="18"/>
  <c r="F361" i="18"/>
  <c r="E361" i="18"/>
  <c r="C361" i="18"/>
  <c r="B361" i="18"/>
  <c r="H360" i="18"/>
  <c r="G360" i="18"/>
  <c r="F360" i="18"/>
  <c r="E360" i="18"/>
  <c r="C360" i="18"/>
  <c r="B360" i="18"/>
  <c r="H359" i="18"/>
  <c r="G359" i="18"/>
  <c r="F359" i="18"/>
  <c r="E359" i="18"/>
  <c r="C359" i="18"/>
  <c r="B359" i="18"/>
  <c r="H357" i="18"/>
  <c r="G357" i="18"/>
  <c r="F357" i="18"/>
  <c r="E357" i="18"/>
  <c r="C357" i="18"/>
  <c r="B357" i="18"/>
  <c r="L15" i="20" s="1"/>
  <c r="H356" i="18"/>
  <c r="G356" i="18"/>
  <c r="F356" i="18"/>
  <c r="E356" i="18"/>
  <c r="C356" i="18"/>
  <c r="B356" i="18"/>
  <c r="H355" i="18"/>
  <c r="G355" i="18"/>
  <c r="F355" i="18"/>
  <c r="E355" i="18"/>
  <c r="C355" i="18"/>
  <c r="B355" i="18"/>
  <c r="H354" i="18"/>
  <c r="G354" i="18"/>
  <c r="F354" i="18"/>
  <c r="E354" i="18"/>
  <c r="C354" i="18"/>
  <c r="B354" i="18"/>
  <c r="H352" i="18"/>
  <c r="G352" i="18"/>
  <c r="F352" i="18"/>
  <c r="D352" i="18" s="1"/>
  <c r="L38" i="20" s="1"/>
  <c r="E352" i="18"/>
  <c r="C352" i="18"/>
  <c r="B352" i="18"/>
  <c r="H351" i="18"/>
  <c r="G351" i="18"/>
  <c r="F351" i="18"/>
  <c r="E351" i="18"/>
  <c r="C351" i="18"/>
  <c r="B351" i="18"/>
  <c r="H350" i="18"/>
  <c r="G350" i="18"/>
  <c r="F350" i="18"/>
  <c r="E350" i="18"/>
  <c r="C350" i="18"/>
  <c r="B350" i="18"/>
  <c r="H349" i="18"/>
  <c r="G349" i="18"/>
  <c r="F349" i="18"/>
  <c r="E349" i="18"/>
  <c r="C349" i="18"/>
  <c r="B349" i="18"/>
  <c r="H336" i="18"/>
  <c r="G336" i="18"/>
  <c r="F336" i="18"/>
  <c r="E336" i="18"/>
  <c r="C336" i="18"/>
  <c r="B336" i="18"/>
  <c r="H335" i="18"/>
  <c r="G335" i="18"/>
  <c r="F335" i="18"/>
  <c r="E335" i="18"/>
  <c r="C335" i="18"/>
  <c r="B335" i="18"/>
  <c r="H334" i="18"/>
  <c r="G334" i="18"/>
  <c r="F334" i="18"/>
  <c r="E334" i="18"/>
  <c r="C334" i="18"/>
  <c r="B334" i="18"/>
  <c r="H333" i="18"/>
  <c r="G333" i="18"/>
  <c r="F333" i="18"/>
  <c r="E333" i="18"/>
  <c r="C333" i="18"/>
  <c r="B333" i="18"/>
  <c r="H331" i="18"/>
  <c r="G331" i="18"/>
  <c r="F331" i="18"/>
  <c r="E331" i="18"/>
  <c r="C331" i="18"/>
  <c r="B331" i="18"/>
  <c r="H330" i="18"/>
  <c r="G330" i="18"/>
  <c r="F330" i="18"/>
  <c r="E330" i="18"/>
  <c r="C330" i="18"/>
  <c r="B330" i="18"/>
  <c r="H329" i="18"/>
  <c r="G329" i="18"/>
  <c r="F329" i="18"/>
  <c r="E329" i="18"/>
  <c r="C329" i="18"/>
  <c r="B329" i="18"/>
  <c r="H328" i="18"/>
  <c r="G328" i="18"/>
  <c r="F328" i="18"/>
  <c r="E328" i="18"/>
  <c r="C328" i="18"/>
  <c r="B328" i="18"/>
  <c r="H326" i="18"/>
  <c r="G326" i="18"/>
  <c r="F326" i="18"/>
  <c r="D326" i="18" s="1"/>
  <c r="K43" i="20" s="1"/>
  <c r="E326" i="18"/>
  <c r="C326" i="18"/>
  <c r="B326" i="18"/>
  <c r="H325" i="18"/>
  <c r="G325" i="18"/>
  <c r="F325" i="18"/>
  <c r="E325" i="18"/>
  <c r="C325" i="18"/>
  <c r="B325" i="18"/>
  <c r="H324" i="18"/>
  <c r="G324" i="18"/>
  <c r="F324" i="18"/>
  <c r="E324" i="18"/>
  <c r="C324" i="18"/>
  <c r="B324" i="18"/>
  <c r="H323" i="18"/>
  <c r="G323" i="18"/>
  <c r="F323" i="18"/>
  <c r="E323" i="18"/>
  <c r="C323" i="18"/>
  <c r="B323" i="18"/>
  <c r="H321" i="18"/>
  <c r="G321" i="18"/>
  <c r="F321" i="18"/>
  <c r="D321" i="18" s="1"/>
  <c r="K38" i="20" s="1"/>
  <c r="E321" i="18"/>
  <c r="C321" i="18"/>
  <c r="B321" i="18"/>
  <c r="K10" i="20" s="1"/>
  <c r="H320" i="18"/>
  <c r="G320" i="18"/>
  <c r="F320" i="18"/>
  <c r="E320" i="18"/>
  <c r="C320" i="18"/>
  <c r="B320" i="18"/>
  <c r="H319" i="18"/>
  <c r="G319" i="18"/>
  <c r="F319" i="18"/>
  <c r="E319" i="18"/>
  <c r="C319" i="18"/>
  <c r="B319" i="18"/>
  <c r="H318" i="18"/>
  <c r="G318" i="18"/>
  <c r="F318" i="18"/>
  <c r="E318" i="18"/>
  <c r="C318" i="18"/>
  <c r="B318" i="18"/>
  <c r="H305" i="18"/>
  <c r="G305" i="18"/>
  <c r="F305" i="18"/>
  <c r="E305" i="18"/>
  <c r="C305" i="18"/>
  <c r="B305" i="18"/>
  <c r="H304" i="18"/>
  <c r="G304" i="18"/>
  <c r="F304" i="18"/>
  <c r="E304" i="18"/>
  <c r="C304" i="18"/>
  <c r="B304" i="18"/>
  <c r="H303" i="18"/>
  <c r="G303" i="18"/>
  <c r="F303" i="18"/>
  <c r="E303" i="18"/>
  <c r="C303" i="18"/>
  <c r="B303" i="18"/>
  <c r="H302" i="18"/>
  <c r="G302" i="18"/>
  <c r="F302" i="18"/>
  <c r="E302" i="18"/>
  <c r="C302" i="18"/>
  <c r="B302" i="18"/>
  <c r="H300" i="18"/>
  <c r="G300" i="18"/>
  <c r="F300" i="18"/>
  <c r="E300" i="18"/>
  <c r="C300" i="18"/>
  <c r="B300" i="18"/>
  <c r="H299" i="18"/>
  <c r="G299" i="18"/>
  <c r="F299" i="18"/>
  <c r="E299" i="18"/>
  <c r="C299" i="18"/>
  <c r="B299" i="18"/>
  <c r="H298" i="18"/>
  <c r="G298" i="18"/>
  <c r="F298" i="18"/>
  <c r="E298" i="18"/>
  <c r="C298" i="18"/>
  <c r="B298" i="18"/>
  <c r="H297" i="18"/>
  <c r="G297" i="18"/>
  <c r="F297" i="18"/>
  <c r="E297" i="18"/>
  <c r="C297" i="18"/>
  <c r="B297" i="18"/>
  <c r="H295" i="18"/>
  <c r="G295" i="18"/>
  <c r="F295" i="18"/>
  <c r="D295" i="18" s="1"/>
  <c r="E295" i="18"/>
  <c r="C295" i="18"/>
  <c r="B295" i="18"/>
  <c r="H294" i="18"/>
  <c r="G294" i="18"/>
  <c r="F294" i="18"/>
  <c r="E294" i="18"/>
  <c r="C294" i="18"/>
  <c r="J14" i="20" s="1"/>
  <c r="B294" i="18"/>
  <c r="H293" i="18"/>
  <c r="G293" i="18"/>
  <c r="F293" i="18"/>
  <c r="E293" i="18"/>
  <c r="C293" i="18"/>
  <c r="B293" i="18"/>
  <c r="H292" i="18"/>
  <c r="G292" i="18"/>
  <c r="F292" i="18"/>
  <c r="E292" i="18"/>
  <c r="C292" i="18"/>
  <c r="B292" i="18"/>
  <c r="H290" i="18"/>
  <c r="G290" i="18"/>
  <c r="F290" i="18"/>
  <c r="E290" i="18"/>
  <c r="C290" i="18"/>
  <c r="B290" i="18"/>
  <c r="H289" i="18"/>
  <c r="G289" i="18"/>
  <c r="F289" i="18"/>
  <c r="E289" i="18"/>
  <c r="C289" i="18"/>
  <c r="B289" i="18"/>
  <c r="H288" i="18"/>
  <c r="G288" i="18"/>
  <c r="F288" i="18"/>
  <c r="E288" i="18"/>
  <c r="C288" i="18"/>
  <c r="B288" i="18"/>
  <c r="H287" i="18"/>
  <c r="G287" i="18"/>
  <c r="F287" i="18"/>
  <c r="E287" i="18"/>
  <c r="C287" i="18"/>
  <c r="B287" i="18"/>
  <c r="H274" i="18"/>
  <c r="G274" i="18"/>
  <c r="F274" i="18"/>
  <c r="E274" i="18"/>
  <c r="C274" i="18"/>
  <c r="B274" i="18"/>
  <c r="H273" i="18"/>
  <c r="G273" i="18"/>
  <c r="F273" i="18"/>
  <c r="E273" i="18"/>
  <c r="C273" i="18"/>
  <c r="B273" i="18"/>
  <c r="H272" i="18"/>
  <c r="G272" i="18"/>
  <c r="F272" i="18"/>
  <c r="E272" i="18"/>
  <c r="C272" i="18"/>
  <c r="B272" i="18"/>
  <c r="H271" i="18"/>
  <c r="G271" i="18"/>
  <c r="F271" i="18"/>
  <c r="E271" i="18"/>
  <c r="C271" i="18"/>
  <c r="B271" i="18"/>
  <c r="H269" i="18"/>
  <c r="G269" i="18"/>
  <c r="F269" i="18"/>
  <c r="E269" i="18"/>
  <c r="C269" i="18"/>
  <c r="B269" i="18"/>
  <c r="H268" i="18"/>
  <c r="G268" i="18"/>
  <c r="F268" i="18"/>
  <c r="E268" i="18"/>
  <c r="C268" i="18"/>
  <c r="B268" i="18"/>
  <c r="H267" i="18"/>
  <c r="G267" i="18"/>
  <c r="F267" i="18"/>
  <c r="E267" i="18"/>
  <c r="C267" i="18"/>
  <c r="B267" i="18"/>
  <c r="H266" i="18"/>
  <c r="G266" i="18"/>
  <c r="F266" i="18"/>
  <c r="E266" i="18"/>
  <c r="C266" i="18"/>
  <c r="B266" i="18"/>
  <c r="H264" i="18"/>
  <c r="G264" i="18"/>
  <c r="F264" i="18"/>
  <c r="E264" i="18"/>
  <c r="C264" i="18"/>
  <c r="B264" i="18"/>
  <c r="H263" i="18"/>
  <c r="G263" i="18"/>
  <c r="F263" i="18"/>
  <c r="E263" i="18"/>
  <c r="C263" i="18"/>
  <c r="B263" i="18"/>
  <c r="H262" i="18"/>
  <c r="G262" i="18"/>
  <c r="F262" i="18"/>
  <c r="E262" i="18"/>
  <c r="C262" i="18"/>
  <c r="B262" i="18"/>
  <c r="H261" i="18"/>
  <c r="G261" i="18"/>
  <c r="F261" i="18"/>
  <c r="E261" i="18"/>
  <c r="C261" i="18"/>
  <c r="B261" i="18"/>
  <c r="H259" i="18"/>
  <c r="G259" i="18"/>
  <c r="F259" i="18"/>
  <c r="D259" i="18" s="1"/>
  <c r="I38" i="20" s="1"/>
  <c r="E259" i="18"/>
  <c r="C259" i="18"/>
  <c r="B259" i="18"/>
  <c r="H258" i="18"/>
  <c r="G258" i="18"/>
  <c r="F258" i="18"/>
  <c r="E258" i="18"/>
  <c r="C258" i="18"/>
  <c r="I9" i="20" s="1"/>
  <c r="B258" i="18"/>
  <c r="H257" i="18"/>
  <c r="G257" i="18"/>
  <c r="F257" i="18"/>
  <c r="E257" i="18"/>
  <c r="C257" i="18"/>
  <c r="B257" i="18"/>
  <c r="H256" i="18"/>
  <c r="G256" i="18"/>
  <c r="F256" i="18"/>
  <c r="E256" i="18"/>
  <c r="C256" i="18"/>
  <c r="B256" i="18"/>
  <c r="H243" i="18"/>
  <c r="G243" i="18"/>
  <c r="F243" i="18"/>
  <c r="D243" i="18" s="1"/>
  <c r="E243" i="18"/>
  <c r="C243" i="18"/>
  <c r="B243" i="18"/>
  <c r="H242" i="18"/>
  <c r="G242" i="18"/>
  <c r="F242" i="18"/>
  <c r="E242" i="18"/>
  <c r="C242" i="18"/>
  <c r="B242" i="18"/>
  <c r="H241" i="18"/>
  <c r="G241" i="18"/>
  <c r="F241" i="18"/>
  <c r="E241" i="18"/>
  <c r="C241" i="18"/>
  <c r="B241" i="18"/>
  <c r="H240" i="18"/>
  <c r="G240" i="18"/>
  <c r="F240" i="18"/>
  <c r="E240" i="18"/>
  <c r="C240" i="18"/>
  <c r="B240" i="18"/>
  <c r="H238" i="18"/>
  <c r="G238" i="18"/>
  <c r="F238" i="18"/>
  <c r="D238" i="18" s="1"/>
  <c r="M48" i="20" s="1"/>
  <c r="E238" i="18"/>
  <c r="C238" i="18"/>
  <c r="B238" i="18"/>
  <c r="H237" i="18"/>
  <c r="G237" i="18"/>
  <c r="F237" i="18"/>
  <c r="E237" i="18"/>
  <c r="C237" i="18"/>
  <c r="B237" i="18"/>
  <c r="H236" i="18"/>
  <c r="G236" i="18"/>
  <c r="F236" i="18"/>
  <c r="E236" i="18"/>
  <c r="C236" i="18"/>
  <c r="B236" i="18"/>
  <c r="H235" i="18"/>
  <c r="G235" i="18"/>
  <c r="F235" i="18"/>
  <c r="E235" i="18"/>
  <c r="C235" i="18"/>
  <c r="B235" i="18"/>
  <c r="H233" i="18"/>
  <c r="G233" i="18"/>
  <c r="F233" i="18"/>
  <c r="E233" i="18"/>
  <c r="C233" i="18"/>
  <c r="B233" i="18"/>
  <c r="H232" i="18"/>
  <c r="G232" i="18"/>
  <c r="F232" i="18"/>
  <c r="E232" i="18"/>
  <c r="C232" i="18"/>
  <c r="B232" i="18"/>
  <c r="H231" i="18"/>
  <c r="G231" i="18"/>
  <c r="F231" i="18"/>
  <c r="E231" i="18"/>
  <c r="C231" i="18"/>
  <c r="B231" i="18"/>
  <c r="H230" i="18"/>
  <c r="G230" i="18"/>
  <c r="F230" i="18"/>
  <c r="E230" i="18"/>
  <c r="C230" i="18"/>
  <c r="B230" i="18"/>
  <c r="H228" i="18"/>
  <c r="G228" i="18"/>
  <c r="F228" i="18"/>
  <c r="D228" i="18" s="1"/>
  <c r="M38" i="20" s="1"/>
  <c r="E228" i="18"/>
  <c r="C228" i="18"/>
  <c r="B228" i="18"/>
  <c r="H227" i="18"/>
  <c r="G227" i="18"/>
  <c r="F227" i="18"/>
  <c r="E227" i="18"/>
  <c r="C227" i="18"/>
  <c r="B227" i="18"/>
  <c r="H226" i="18"/>
  <c r="G226" i="18"/>
  <c r="F226" i="18"/>
  <c r="E226" i="18"/>
  <c r="C226" i="18"/>
  <c r="M8" i="20" s="1"/>
  <c r="B226" i="18"/>
  <c r="H225" i="18"/>
  <c r="G225" i="18"/>
  <c r="F225" i="18"/>
  <c r="E225" i="18"/>
  <c r="C225" i="18"/>
  <c r="B225" i="18"/>
  <c r="P212" i="18"/>
  <c r="O212" i="18"/>
  <c r="N212" i="18"/>
  <c r="L212" i="18" s="1"/>
  <c r="G112" i="20" s="1"/>
  <c r="M212" i="18"/>
  <c r="K212" i="18"/>
  <c r="J212" i="18"/>
  <c r="H212" i="18"/>
  <c r="G212" i="18"/>
  <c r="F212" i="18"/>
  <c r="E212" i="18"/>
  <c r="C212" i="18"/>
  <c r="B212" i="18"/>
  <c r="P211" i="18"/>
  <c r="O211" i="18"/>
  <c r="N211" i="18"/>
  <c r="M211" i="18"/>
  <c r="K211" i="18"/>
  <c r="J211" i="18"/>
  <c r="H211" i="18"/>
  <c r="G211" i="18"/>
  <c r="F211" i="18"/>
  <c r="E211" i="18"/>
  <c r="C211" i="18"/>
  <c r="B211" i="18"/>
  <c r="P210" i="18"/>
  <c r="O210" i="18"/>
  <c r="N210" i="18"/>
  <c r="M210" i="18"/>
  <c r="K210" i="18"/>
  <c r="J210" i="18"/>
  <c r="H210" i="18"/>
  <c r="G210" i="18"/>
  <c r="F210" i="18"/>
  <c r="E210" i="18"/>
  <c r="C210" i="18"/>
  <c r="B210" i="18"/>
  <c r="P209" i="18"/>
  <c r="O209" i="18"/>
  <c r="N209" i="18"/>
  <c r="M209" i="18"/>
  <c r="K209" i="18"/>
  <c r="J209" i="18"/>
  <c r="H209" i="18"/>
  <c r="G209" i="18"/>
  <c r="F209" i="18"/>
  <c r="E209" i="18"/>
  <c r="C209" i="18"/>
  <c r="B209" i="18"/>
  <c r="P207" i="18"/>
  <c r="O207" i="18"/>
  <c r="N207" i="18"/>
  <c r="L207" i="18" s="1"/>
  <c r="M207" i="18"/>
  <c r="K207" i="18"/>
  <c r="J207" i="18"/>
  <c r="H207" i="18"/>
  <c r="G207" i="18"/>
  <c r="F207" i="18"/>
  <c r="E207" i="18"/>
  <c r="C207" i="18"/>
  <c r="B207" i="18"/>
  <c r="P206" i="18"/>
  <c r="O206" i="18"/>
  <c r="N206" i="18"/>
  <c r="M206" i="18"/>
  <c r="K206" i="18"/>
  <c r="J206" i="18"/>
  <c r="H206" i="18"/>
  <c r="G206" i="18"/>
  <c r="F206" i="18"/>
  <c r="E206" i="18"/>
  <c r="C206" i="18"/>
  <c r="B206" i="18"/>
  <c r="P205" i="18"/>
  <c r="O205" i="18"/>
  <c r="N205" i="18"/>
  <c r="M205" i="18"/>
  <c r="K205" i="18"/>
  <c r="J205" i="18"/>
  <c r="H205" i="18"/>
  <c r="G205" i="18"/>
  <c r="F205" i="18"/>
  <c r="E205" i="18"/>
  <c r="C205" i="18"/>
  <c r="B205" i="18"/>
  <c r="P204" i="18"/>
  <c r="O204" i="18"/>
  <c r="N204" i="18"/>
  <c r="M204" i="18"/>
  <c r="K204" i="18"/>
  <c r="J204" i="18"/>
  <c r="H204" i="18"/>
  <c r="G204" i="18"/>
  <c r="F204" i="18"/>
  <c r="E204" i="18"/>
  <c r="C204" i="18"/>
  <c r="B204" i="18"/>
  <c r="P202" i="18"/>
  <c r="O202" i="18"/>
  <c r="N202" i="18"/>
  <c r="L202" i="18" s="1"/>
  <c r="G102" i="20" s="1"/>
  <c r="M202" i="18"/>
  <c r="K202" i="18"/>
  <c r="J202" i="18"/>
  <c r="H202" i="18"/>
  <c r="G202" i="18"/>
  <c r="F202" i="18"/>
  <c r="E202" i="18"/>
  <c r="C202" i="18"/>
  <c r="B202" i="18"/>
  <c r="P201" i="18"/>
  <c r="O201" i="18"/>
  <c r="N201" i="18"/>
  <c r="M201" i="18"/>
  <c r="K201" i="18"/>
  <c r="J201" i="18"/>
  <c r="H201" i="18"/>
  <c r="G201" i="18"/>
  <c r="F201" i="18"/>
  <c r="E201" i="18"/>
  <c r="C201" i="18"/>
  <c r="B201" i="18"/>
  <c r="P200" i="18"/>
  <c r="O200" i="18"/>
  <c r="N200" i="18"/>
  <c r="M200" i="18"/>
  <c r="K200" i="18"/>
  <c r="J200" i="18"/>
  <c r="H200" i="18"/>
  <c r="G200" i="18"/>
  <c r="F200" i="18"/>
  <c r="E200" i="18"/>
  <c r="C200" i="18"/>
  <c r="B200" i="18"/>
  <c r="P199" i="18"/>
  <c r="O199" i="18"/>
  <c r="N199" i="18"/>
  <c r="M199" i="18"/>
  <c r="K199" i="18"/>
  <c r="J199" i="18"/>
  <c r="H199" i="18"/>
  <c r="G199" i="18"/>
  <c r="F199" i="18"/>
  <c r="E199" i="18"/>
  <c r="C199" i="18"/>
  <c r="B199" i="18"/>
  <c r="P197" i="18"/>
  <c r="O197" i="18"/>
  <c r="N197" i="18"/>
  <c r="L197" i="18" s="1"/>
  <c r="G97" i="20" s="1"/>
  <c r="M197" i="18"/>
  <c r="K197" i="18"/>
  <c r="J197" i="18"/>
  <c r="H197" i="18"/>
  <c r="G197" i="18"/>
  <c r="F197" i="18"/>
  <c r="E197" i="18"/>
  <c r="C197" i="18"/>
  <c r="B197" i="18"/>
  <c r="P196" i="18"/>
  <c r="O196" i="18"/>
  <c r="N196" i="18"/>
  <c r="M196" i="18"/>
  <c r="K196" i="18"/>
  <c r="J196" i="18"/>
  <c r="H196" i="18"/>
  <c r="G196" i="18"/>
  <c r="F196" i="18"/>
  <c r="E196" i="18"/>
  <c r="C196" i="18"/>
  <c r="B196" i="18"/>
  <c r="P195" i="18"/>
  <c r="O195" i="18"/>
  <c r="N195" i="18"/>
  <c r="M195" i="18"/>
  <c r="K195" i="18"/>
  <c r="J195" i="18"/>
  <c r="H195" i="18"/>
  <c r="G195" i="18"/>
  <c r="F195" i="18"/>
  <c r="E195" i="18"/>
  <c r="C195" i="18"/>
  <c r="B195" i="18"/>
  <c r="P194" i="18"/>
  <c r="O194" i="18"/>
  <c r="N194" i="18"/>
  <c r="M194" i="18"/>
  <c r="K194" i="18"/>
  <c r="J194" i="18"/>
  <c r="H194" i="18"/>
  <c r="G194" i="18"/>
  <c r="F194" i="18"/>
  <c r="E194" i="18"/>
  <c r="C194" i="18"/>
  <c r="B194" i="18"/>
  <c r="P182" i="18"/>
  <c r="O182" i="18"/>
  <c r="N182" i="18"/>
  <c r="M182" i="18"/>
  <c r="K182" i="18"/>
  <c r="J182" i="18"/>
  <c r="H182" i="18"/>
  <c r="G182" i="18"/>
  <c r="F182" i="18"/>
  <c r="E182" i="18"/>
  <c r="C182" i="18"/>
  <c r="B182" i="18"/>
  <c r="P181" i="18"/>
  <c r="O181" i="18"/>
  <c r="N181" i="18"/>
  <c r="M181" i="18"/>
  <c r="K181" i="18"/>
  <c r="J181" i="18"/>
  <c r="H181" i="18"/>
  <c r="G181" i="18"/>
  <c r="F181" i="18"/>
  <c r="E181" i="18"/>
  <c r="C181" i="18"/>
  <c r="B181" i="18"/>
  <c r="P180" i="18"/>
  <c r="O180" i="18"/>
  <c r="N180" i="18"/>
  <c r="L180" i="18" s="1"/>
  <c r="F110" i="20" s="1"/>
  <c r="M180" i="18"/>
  <c r="K180" i="18"/>
  <c r="J180" i="18"/>
  <c r="H180" i="18"/>
  <c r="G180" i="18"/>
  <c r="F180" i="18"/>
  <c r="E180" i="18"/>
  <c r="C180" i="18"/>
  <c r="F23" i="20" s="1"/>
  <c r="B180" i="18"/>
  <c r="P179" i="18"/>
  <c r="O179" i="18"/>
  <c r="N179" i="18"/>
  <c r="M179" i="18"/>
  <c r="K179" i="18"/>
  <c r="J179" i="18"/>
  <c r="H179" i="18"/>
  <c r="G179" i="18"/>
  <c r="F179" i="18"/>
  <c r="E179" i="18"/>
  <c r="C179" i="18"/>
  <c r="B179" i="18"/>
  <c r="P177" i="18"/>
  <c r="O177" i="18"/>
  <c r="N177" i="18"/>
  <c r="L177" i="18" s="1"/>
  <c r="F107" i="20" s="1"/>
  <c r="M177" i="18"/>
  <c r="K177" i="18"/>
  <c r="J177" i="18"/>
  <c r="H177" i="18"/>
  <c r="G177" i="18"/>
  <c r="F177" i="18"/>
  <c r="E177" i="18"/>
  <c r="C177" i="18"/>
  <c r="B177" i="18"/>
  <c r="P176" i="18"/>
  <c r="O176" i="18"/>
  <c r="N176" i="18"/>
  <c r="M176" i="18"/>
  <c r="K176" i="18"/>
  <c r="J176" i="18"/>
  <c r="H176" i="18"/>
  <c r="G176" i="18"/>
  <c r="F176" i="18"/>
  <c r="E176" i="18"/>
  <c r="C176" i="18"/>
  <c r="B176" i="18"/>
  <c r="P175" i="18"/>
  <c r="O175" i="18"/>
  <c r="N175" i="18"/>
  <c r="M175" i="18"/>
  <c r="K175" i="18"/>
  <c r="J175" i="18"/>
  <c r="H175" i="18"/>
  <c r="G175" i="18"/>
  <c r="F175" i="18"/>
  <c r="E175" i="18"/>
  <c r="C175" i="18"/>
  <c r="B175" i="18"/>
  <c r="P174" i="18"/>
  <c r="O174" i="18"/>
  <c r="N174" i="18"/>
  <c r="M174" i="18"/>
  <c r="K174" i="18"/>
  <c r="J174" i="18"/>
  <c r="H174" i="18"/>
  <c r="G174" i="18"/>
  <c r="F174" i="18"/>
  <c r="E174" i="18"/>
  <c r="C174" i="18"/>
  <c r="B174" i="18"/>
  <c r="P172" i="18"/>
  <c r="O172" i="18"/>
  <c r="N172" i="18"/>
  <c r="L172" i="18" s="1"/>
  <c r="F102" i="20" s="1"/>
  <c r="M172" i="18"/>
  <c r="K172" i="18"/>
  <c r="J172" i="18"/>
  <c r="H172" i="18"/>
  <c r="G172" i="18"/>
  <c r="F172" i="18"/>
  <c r="E172" i="18"/>
  <c r="C172" i="18"/>
  <c r="B172" i="18"/>
  <c r="P171" i="18"/>
  <c r="O171" i="18"/>
  <c r="N171" i="18"/>
  <c r="M171" i="18"/>
  <c r="K171" i="18"/>
  <c r="J171" i="18"/>
  <c r="H171" i="18"/>
  <c r="G171" i="18"/>
  <c r="F171" i="18"/>
  <c r="E171" i="18"/>
  <c r="C171" i="18"/>
  <c r="B171" i="18"/>
  <c r="P170" i="18"/>
  <c r="O170" i="18"/>
  <c r="N170" i="18"/>
  <c r="M170" i="18"/>
  <c r="K170" i="18"/>
  <c r="J170" i="18"/>
  <c r="H170" i="18"/>
  <c r="G170" i="18"/>
  <c r="F170" i="18"/>
  <c r="E170" i="18"/>
  <c r="C170" i="18"/>
  <c r="B170" i="18"/>
  <c r="P169" i="18"/>
  <c r="O169" i="18"/>
  <c r="N169" i="18"/>
  <c r="M169" i="18"/>
  <c r="K169" i="18"/>
  <c r="J169" i="18"/>
  <c r="H169" i="18"/>
  <c r="G169" i="18"/>
  <c r="F169" i="18"/>
  <c r="E169" i="18"/>
  <c r="C169" i="18"/>
  <c r="B169" i="18"/>
  <c r="P167" i="18"/>
  <c r="O167" i="18"/>
  <c r="N167" i="18"/>
  <c r="M167" i="18"/>
  <c r="K167" i="18"/>
  <c r="J167" i="18"/>
  <c r="H167" i="18"/>
  <c r="G167" i="18"/>
  <c r="F167" i="18"/>
  <c r="E167" i="18"/>
  <c r="C167" i="18"/>
  <c r="F10" i="20" s="1"/>
  <c r="B167" i="18"/>
  <c r="P166" i="18"/>
  <c r="O166" i="18"/>
  <c r="N166" i="18"/>
  <c r="M166" i="18"/>
  <c r="K166" i="18"/>
  <c r="J166" i="18"/>
  <c r="H166" i="18"/>
  <c r="G166" i="18"/>
  <c r="F166" i="18"/>
  <c r="E166" i="18"/>
  <c r="C166" i="18"/>
  <c r="B166" i="18"/>
  <c r="P165" i="18"/>
  <c r="O165" i="18"/>
  <c r="N165" i="18"/>
  <c r="M165" i="18"/>
  <c r="K165" i="18"/>
  <c r="J165" i="18"/>
  <c r="H165" i="18"/>
  <c r="G165" i="18"/>
  <c r="F165" i="18"/>
  <c r="E165" i="18"/>
  <c r="C165" i="18"/>
  <c r="B165" i="18"/>
  <c r="P164" i="18"/>
  <c r="O164" i="18"/>
  <c r="N164" i="18"/>
  <c r="M164" i="18"/>
  <c r="K164" i="18"/>
  <c r="J164" i="18"/>
  <c r="H164" i="18"/>
  <c r="G164" i="18"/>
  <c r="F164" i="18"/>
  <c r="E164" i="18"/>
  <c r="C164" i="18"/>
  <c r="B164" i="18"/>
  <c r="P151" i="18"/>
  <c r="O151" i="18"/>
  <c r="N151" i="18"/>
  <c r="L151" i="18" s="1"/>
  <c r="E112" i="20" s="1"/>
  <c r="M151" i="18"/>
  <c r="K151" i="18"/>
  <c r="J151" i="18"/>
  <c r="H151" i="18"/>
  <c r="G151" i="18"/>
  <c r="F151" i="18"/>
  <c r="E151" i="18"/>
  <c r="C151" i="18"/>
  <c r="B151" i="18"/>
  <c r="P150" i="18"/>
  <c r="O150" i="18"/>
  <c r="N150" i="18"/>
  <c r="M150" i="18"/>
  <c r="K150" i="18"/>
  <c r="J150" i="18"/>
  <c r="H150" i="18"/>
  <c r="G150" i="18"/>
  <c r="F150" i="18"/>
  <c r="E150" i="18"/>
  <c r="C150" i="18"/>
  <c r="B150" i="18"/>
  <c r="E24" i="20" s="1"/>
  <c r="P149" i="18"/>
  <c r="O149" i="18"/>
  <c r="N149" i="18"/>
  <c r="L149" i="18" s="1"/>
  <c r="E110" i="20" s="1"/>
  <c r="M149" i="18"/>
  <c r="K149" i="18"/>
  <c r="J149" i="18"/>
  <c r="H149" i="18"/>
  <c r="G149" i="18"/>
  <c r="F149" i="18"/>
  <c r="E149" i="18"/>
  <c r="C149" i="18"/>
  <c r="B149" i="18"/>
  <c r="P148" i="18"/>
  <c r="O148" i="18"/>
  <c r="N148" i="18"/>
  <c r="M148" i="18"/>
  <c r="K148" i="18"/>
  <c r="J148" i="18"/>
  <c r="H148" i="18"/>
  <c r="G148" i="18"/>
  <c r="F148" i="18"/>
  <c r="E148" i="18"/>
  <c r="C148" i="18"/>
  <c r="B148" i="18"/>
  <c r="E22" i="20" s="1"/>
  <c r="P146" i="18"/>
  <c r="O146" i="18"/>
  <c r="N146" i="18"/>
  <c r="M146" i="18"/>
  <c r="K146" i="18"/>
  <c r="J146" i="18"/>
  <c r="H146" i="18"/>
  <c r="G146" i="18"/>
  <c r="F146" i="18"/>
  <c r="E146" i="18"/>
  <c r="C146" i="18"/>
  <c r="B146" i="18"/>
  <c r="P145" i="18"/>
  <c r="O145" i="18"/>
  <c r="N145" i="18"/>
  <c r="M145" i="18"/>
  <c r="K145" i="18"/>
  <c r="J145" i="18"/>
  <c r="H145" i="18"/>
  <c r="G145" i="18"/>
  <c r="F145" i="18"/>
  <c r="E145" i="18"/>
  <c r="C145" i="18"/>
  <c r="B145" i="18"/>
  <c r="E19" i="20" s="1"/>
  <c r="P144" i="18"/>
  <c r="O144" i="18"/>
  <c r="N144" i="18"/>
  <c r="M144" i="18"/>
  <c r="K144" i="18"/>
  <c r="J144" i="18"/>
  <c r="H144" i="18"/>
  <c r="G144" i="18"/>
  <c r="F144" i="18"/>
  <c r="E144" i="18"/>
  <c r="C144" i="18"/>
  <c r="E18" i="20" s="1"/>
  <c r="B144" i="18"/>
  <c r="P143" i="18"/>
  <c r="O143" i="18"/>
  <c r="N143" i="18"/>
  <c r="M143" i="18"/>
  <c r="K143" i="18"/>
  <c r="J143" i="18"/>
  <c r="H143" i="18"/>
  <c r="G143" i="18"/>
  <c r="F143" i="18"/>
  <c r="E143" i="18"/>
  <c r="C143" i="18"/>
  <c r="B143" i="18"/>
  <c r="E17" i="20" s="1"/>
  <c r="P141" i="18"/>
  <c r="O141" i="18"/>
  <c r="N141" i="18"/>
  <c r="L141" i="18" s="1"/>
  <c r="E102" i="20" s="1"/>
  <c r="M141" i="18"/>
  <c r="K141" i="18"/>
  <c r="J141" i="18"/>
  <c r="H141" i="18"/>
  <c r="G141" i="18"/>
  <c r="F141" i="18"/>
  <c r="E141" i="18"/>
  <c r="C141" i="18"/>
  <c r="B141" i="18"/>
  <c r="P140" i="18"/>
  <c r="O140" i="18"/>
  <c r="N140" i="18"/>
  <c r="M140" i="18"/>
  <c r="K140" i="18"/>
  <c r="J140" i="18"/>
  <c r="H140" i="18"/>
  <c r="G140" i="18"/>
  <c r="F140" i="18"/>
  <c r="E140" i="18"/>
  <c r="C140" i="18"/>
  <c r="B140" i="18"/>
  <c r="P139" i="18"/>
  <c r="O139" i="18"/>
  <c r="N139" i="18"/>
  <c r="L139" i="18" s="1"/>
  <c r="M139" i="18"/>
  <c r="K139" i="18"/>
  <c r="J139" i="18"/>
  <c r="H139" i="18"/>
  <c r="G139" i="18"/>
  <c r="F139" i="18"/>
  <c r="E139" i="18"/>
  <c r="C139" i="18"/>
  <c r="B139" i="18"/>
  <c r="P138" i="18"/>
  <c r="O138" i="18"/>
  <c r="N138" i="18"/>
  <c r="M138" i="18"/>
  <c r="K138" i="18"/>
  <c r="J138" i="18"/>
  <c r="H138" i="18"/>
  <c r="G138" i="18"/>
  <c r="F138" i="18"/>
  <c r="E138" i="18"/>
  <c r="C138" i="18"/>
  <c r="B138" i="18"/>
  <c r="E12" i="20" s="1"/>
  <c r="P136" i="18"/>
  <c r="O136" i="18"/>
  <c r="N136" i="18"/>
  <c r="L136" i="18" s="1"/>
  <c r="E97" i="20" s="1"/>
  <c r="M136" i="18"/>
  <c r="K136" i="18"/>
  <c r="J136" i="18"/>
  <c r="H136" i="18"/>
  <c r="G136" i="18"/>
  <c r="F136" i="18"/>
  <c r="E136" i="18"/>
  <c r="C136" i="18"/>
  <c r="B136" i="18"/>
  <c r="P135" i="18"/>
  <c r="O135" i="18"/>
  <c r="N135" i="18"/>
  <c r="M135" i="18"/>
  <c r="K135" i="18"/>
  <c r="J135" i="18"/>
  <c r="H135" i="18"/>
  <c r="G135" i="18"/>
  <c r="F135" i="18"/>
  <c r="E135" i="18"/>
  <c r="C135" i="18"/>
  <c r="B135" i="18"/>
  <c r="E9" i="20" s="1"/>
  <c r="P134" i="18"/>
  <c r="O134" i="18"/>
  <c r="N134" i="18"/>
  <c r="M134" i="18"/>
  <c r="K134" i="18"/>
  <c r="J134" i="18"/>
  <c r="H134" i="18"/>
  <c r="G134" i="18"/>
  <c r="F134" i="18"/>
  <c r="E134" i="18"/>
  <c r="C134" i="18"/>
  <c r="E8" i="20" s="1"/>
  <c r="B134" i="18"/>
  <c r="P133" i="18"/>
  <c r="O133" i="18"/>
  <c r="N133" i="18"/>
  <c r="M133" i="18"/>
  <c r="K133" i="18"/>
  <c r="J133" i="18"/>
  <c r="H133" i="18"/>
  <c r="G133" i="18"/>
  <c r="F133" i="18"/>
  <c r="E133" i="18"/>
  <c r="C133" i="18"/>
  <c r="B133" i="18"/>
  <c r="E7" i="20" s="1"/>
  <c r="P120" i="18"/>
  <c r="O120" i="18"/>
  <c r="N120" i="18"/>
  <c r="M120" i="18"/>
  <c r="K120" i="18"/>
  <c r="J120" i="18"/>
  <c r="H120" i="18"/>
  <c r="G120" i="18"/>
  <c r="F120" i="18"/>
  <c r="E120" i="18"/>
  <c r="C120" i="18"/>
  <c r="B120" i="18"/>
  <c r="P119" i="18"/>
  <c r="O119" i="18"/>
  <c r="N119" i="18"/>
  <c r="M119" i="18"/>
  <c r="K119" i="18"/>
  <c r="J119" i="18"/>
  <c r="H119" i="18"/>
  <c r="G119" i="18"/>
  <c r="F119" i="18"/>
  <c r="E119" i="18"/>
  <c r="C119" i="18"/>
  <c r="B119" i="18"/>
  <c r="D24" i="20" s="1"/>
  <c r="P118" i="18"/>
  <c r="O118" i="18"/>
  <c r="N118" i="18"/>
  <c r="M118" i="18"/>
  <c r="K118" i="18"/>
  <c r="J118" i="18"/>
  <c r="H118" i="18"/>
  <c r="G118" i="18"/>
  <c r="F118" i="18"/>
  <c r="E118" i="18"/>
  <c r="C118" i="18"/>
  <c r="B118" i="18"/>
  <c r="P117" i="18"/>
  <c r="O117" i="18"/>
  <c r="N117" i="18"/>
  <c r="M117" i="18"/>
  <c r="K117" i="18"/>
  <c r="J117" i="18"/>
  <c r="H117" i="18"/>
  <c r="G117" i="18"/>
  <c r="F117" i="18"/>
  <c r="E117" i="18"/>
  <c r="C117" i="18"/>
  <c r="B117" i="18"/>
  <c r="D22" i="20" s="1"/>
  <c r="P115" i="18"/>
  <c r="O115" i="18"/>
  <c r="N115" i="18"/>
  <c r="L115" i="18" s="1"/>
  <c r="D107" i="20" s="1"/>
  <c r="M115" i="18"/>
  <c r="K115" i="18"/>
  <c r="J115" i="18"/>
  <c r="H115" i="18"/>
  <c r="G115" i="18"/>
  <c r="F115" i="18"/>
  <c r="E115" i="18"/>
  <c r="C115" i="18"/>
  <c r="B115" i="18"/>
  <c r="P114" i="18"/>
  <c r="O114" i="18"/>
  <c r="N114" i="18"/>
  <c r="M114" i="18"/>
  <c r="K114" i="18"/>
  <c r="J114" i="18"/>
  <c r="H114" i="18"/>
  <c r="G114" i="18"/>
  <c r="F114" i="18"/>
  <c r="E114" i="18"/>
  <c r="C114" i="18"/>
  <c r="B114" i="18"/>
  <c r="D19" i="20" s="1"/>
  <c r="P113" i="18"/>
  <c r="O113" i="18"/>
  <c r="N113" i="18"/>
  <c r="M113" i="18"/>
  <c r="K113" i="18"/>
  <c r="J113" i="18"/>
  <c r="H113" i="18"/>
  <c r="G113" i="18"/>
  <c r="F113" i="18"/>
  <c r="E113" i="18"/>
  <c r="C113" i="18"/>
  <c r="B113" i="18"/>
  <c r="P112" i="18"/>
  <c r="O112" i="18"/>
  <c r="N112" i="18"/>
  <c r="M112" i="18"/>
  <c r="K112" i="18"/>
  <c r="J112" i="18"/>
  <c r="H112" i="18"/>
  <c r="G112" i="18"/>
  <c r="F112" i="18"/>
  <c r="E112" i="18"/>
  <c r="C112" i="18"/>
  <c r="B112" i="18"/>
  <c r="P110" i="18"/>
  <c r="O110" i="18"/>
  <c r="N110" i="18"/>
  <c r="M110" i="18"/>
  <c r="K110" i="18"/>
  <c r="J110" i="18"/>
  <c r="H110" i="18"/>
  <c r="G110" i="18"/>
  <c r="F110" i="18"/>
  <c r="E110" i="18"/>
  <c r="C110" i="18"/>
  <c r="B110" i="18"/>
  <c r="P109" i="18"/>
  <c r="O109" i="18"/>
  <c r="N109" i="18"/>
  <c r="M109" i="18"/>
  <c r="K109" i="18"/>
  <c r="J109" i="18"/>
  <c r="H109" i="18"/>
  <c r="G109" i="18"/>
  <c r="F109" i="18"/>
  <c r="E109" i="18"/>
  <c r="C109" i="18"/>
  <c r="B109" i="18"/>
  <c r="D14" i="20" s="1"/>
  <c r="P108" i="18"/>
  <c r="O108" i="18"/>
  <c r="N108" i="18"/>
  <c r="M108" i="18"/>
  <c r="K108" i="18"/>
  <c r="J108" i="18"/>
  <c r="H108" i="18"/>
  <c r="G108" i="18"/>
  <c r="F108" i="18"/>
  <c r="E108" i="18"/>
  <c r="C108" i="18"/>
  <c r="D13" i="20" s="1"/>
  <c r="B108" i="18"/>
  <c r="P107" i="18"/>
  <c r="O107" i="18"/>
  <c r="N107" i="18"/>
  <c r="M107" i="18"/>
  <c r="K107" i="18"/>
  <c r="J107" i="18"/>
  <c r="H107" i="18"/>
  <c r="G107" i="18"/>
  <c r="F107" i="18"/>
  <c r="E107" i="18"/>
  <c r="C107" i="18"/>
  <c r="B107" i="18"/>
  <c r="D12" i="20" s="1"/>
  <c r="P105" i="18"/>
  <c r="O105" i="18"/>
  <c r="N105" i="18"/>
  <c r="M105" i="18"/>
  <c r="K105" i="18"/>
  <c r="J105" i="18"/>
  <c r="H105" i="18"/>
  <c r="G105" i="18"/>
  <c r="F105" i="18"/>
  <c r="E105" i="18"/>
  <c r="C105" i="18"/>
  <c r="B105" i="18"/>
  <c r="P104" i="18"/>
  <c r="O104" i="18"/>
  <c r="N104" i="18"/>
  <c r="M104" i="18"/>
  <c r="K104" i="18"/>
  <c r="J104" i="18"/>
  <c r="H104" i="18"/>
  <c r="G104" i="18"/>
  <c r="F104" i="18"/>
  <c r="E104" i="18"/>
  <c r="C104" i="18"/>
  <c r="B104" i="18"/>
  <c r="P103" i="18"/>
  <c r="O103" i="18"/>
  <c r="N103" i="18"/>
  <c r="L103" i="18" s="1"/>
  <c r="D95" i="20" s="1"/>
  <c r="M103" i="18"/>
  <c r="K103" i="18"/>
  <c r="J103" i="18"/>
  <c r="H103" i="18"/>
  <c r="G103" i="18"/>
  <c r="F103" i="18"/>
  <c r="E103" i="18"/>
  <c r="C103" i="18"/>
  <c r="B103" i="18"/>
  <c r="P102" i="18"/>
  <c r="O102" i="18"/>
  <c r="N102" i="18"/>
  <c r="M102" i="18"/>
  <c r="K102" i="18"/>
  <c r="J102" i="18"/>
  <c r="H102" i="18"/>
  <c r="G102" i="18"/>
  <c r="F102" i="18"/>
  <c r="E102" i="18"/>
  <c r="C102" i="18"/>
  <c r="B102" i="18"/>
  <c r="D7" i="20" s="1"/>
  <c r="P90" i="18"/>
  <c r="O90" i="18"/>
  <c r="N90" i="18"/>
  <c r="M90" i="18"/>
  <c r="K90" i="18"/>
  <c r="J90" i="18"/>
  <c r="H90" i="18"/>
  <c r="G90" i="18"/>
  <c r="F90" i="18"/>
  <c r="E90" i="18"/>
  <c r="C90" i="18"/>
  <c r="B90" i="18"/>
  <c r="P89" i="18"/>
  <c r="O89" i="18"/>
  <c r="N89" i="18"/>
  <c r="M89" i="18"/>
  <c r="K89" i="18"/>
  <c r="J89" i="18"/>
  <c r="H89" i="18"/>
  <c r="G89" i="18"/>
  <c r="F89" i="18"/>
  <c r="E89" i="18"/>
  <c r="C89" i="18"/>
  <c r="B89" i="18"/>
  <c r="C24" i="20" s="1"/>
  <c r="P88" i="18"/>
  <c r="O88" i="18"/>
  <c r="N88" i="18"/>
  <c r="M88" i="18"/>
  <c r="K88" i="18"/>
  <c r="J88" i="18"/>
  <c r="H88" i="18"/>
  <c r="G88" i="18"/>
  <c r="F88" i="18"/>
  <c r="E88" i="18"/>
  <c r="C88" i="18"/>
  <c r="B88" i="18"/>
  <c r="P87" i="18"/>
  <c r="O87" i="18"/>
  <c r="N87" i="18"/>
  <c r="M87" i="18"/>
  <c r="K87" i="18"/>
  <c r="J87" i="18"/>
  <c r="H87" i="18"/>
  <c r="G87" i="18"/>
  <c r="F87" i="18"/>
  <c r="E87" i="18"/>
  <c r="C87" i="18"/>
  <c r="B87" i="18"/>
  <c r="C22" i="20" s="1"/>
  <c r="P85" i="18"/>
  <c r="O85" i="18"/>
  <c r="N85" i="18"/>
  <c r="M85" i="18"/>
  <c r="K85" i="18"/>
  <c r="J85" i="18"/>
  <c r="H85" i="18"/>
  <c r="G85" i="18"/>
  <c r="F85" i="18"/>
  <c r="E85" i="18"/>
  <c r="C85" i="18"/>
  <c r="B85" i="18"/>
  <c r="P84" i="18"/>
  <c r="O84" i="18"/>
  <c r="N84" i="18"/>
  <c r="M84" i="18"/>
  <c r="K84" i="18"/>
  <c r="J84" i="18"/>
  <c r="H84" i="18"/>
  <c r="G84" i="18"/>
  <c r="F84" i="18"/>
  <c r="E84" i="18"/>
  <c r="D84" i="18" s="1"/>
  <c r="C47" i="20" s="1"/>
  <c r="C84" i="18"/>
  <c r="B84" i="18"/>
  <c r="C19" i="20" s="1"/>
  <c r="P83" i="18"/>
  <c r="O83" i="18"/>
  <c r="N83" i="18"/>
  <c r="M83" i="18"/>
  <c r="K83" i="18"/>
  <c r="J83" i="18"/>
  <c r="H83" i="18"/>
  <c r="G83" i="18"/>
  <c r="F83" i="18"/>
  <c r="E83" i="18"/>
  <c r="C83" i="18"/>
  <c r="B83" i="18"/>
  <c r="P82" i="18"/>
  <c r="O82" i="18"/>
  <c r="N82" i="18"/>
  <c r="M82" i="18"/>
  <c r="K82" i="18"/>
  <c r="J82" i="18"/>
  <c r="H82" i="18"/>
  <c r="G82" i="18"/>
  <c r="F82" i="18"/>
  <c r="E82" i="18"/>
  <c r="C82" i="18"/>
  <c r="B82" i="18"/>
  <c r="P80" i="18"/>
  <c r="O80" i="18"/>
  <c r="N80" i="18"/>
  <c r="M80" i="18"/>
  <c r="K80" i="18"/>
  <c r="J80" i="18"/>
  <c r="H80" i="18"/>
  <c r="G80" i="18"/>
  <c r="F80" i="18"/>
  <c r="E80" i="18"/>
  <c r="C80" i="18"/>
  <c r="C15" i="20" s="1"/>
  <c r="B80" i="18"/>
  <c r="P79" i="18"/>
  <c r="O79" i="18"/>
  <c r="N79" i="18"/>
  <c r="M79" i="18"/>
  <c r="K79" i="18"/>
  <c r="J79" i="18"/>
  <c r="H79" i="18"/>
  <c r="G79" i="18"/>
  <c r="F79" i="18"/>
  <c r="E79" i="18"/>
  <c r="C79" i="18"/>
  <c r="B79" i="18"/>
  <c r="C14" i="20" s="1"/>
  <c r="P78" i="18"/>
  <c r="O78" i="18"/>
  <c r="N78" i="18"/>
  <c r="M78" i="18"/>
  <c r="K78" i="18"/>
  <c r="J78" i="18"/>
  <c r="H78" i="18"/>
  <c r="G78" i="18"/>
  <c r="F78" i="18"/>
  <c r="E78" i="18"/>
  <c r="C78" i="18"/>
  <c r="B78" i="18"/>
  <c r="P77" i="18"/>
  <c r="O77" i="18"/>
  <c r="N77" i="18"/>
  <c r="M77" i="18"/>
  <c r="K77" i="18"/>
  <c r="J77" i="18"/>
  <c r="H77" i="18"/>
  <c r="G77" i="18"/>
  <c r="F77" i="18"/>
  <c r="E77" i="18"/>
  <c r="C77" i="18"/>
  <c r="B77" i="18"/>
  <c r="C12" i="20" s="1"/>
  <c r="P75" i="18"/>
  <c r="O75" i="18"/>
  <c r="N75" i="18"/>
  <c r="M75" i="18"/>
  <c r="K75" i="18"/>
  <c r="J75" i="18"/>
  <c r="H75" i="18"/>
  <c r="G75" i="18"/>
  <c r="F75" i="18"/>
  <c r="E75" i="18"/>
  <c r="C75" i="18"/>
  <c r="B75" i="18"/>
  <c r="P74" i="18"/>
  <c r="O74" i="18"/>
  <c r="N74" i="18"/>
  <c r="M74" i="18"/>
  <c r="K74" i="18"/>
  <c r="J74" i="18"/>
  <c r="H74" i="18"/>
  <c r="G74" i="18"/>
  <c r="F74" i="18"/>
  <c r="E74" i="18"/>
  <c r="C74" i="18"/>
  <c r="B74" i="18"/>
  <c r="P73" i="18"/>
  <c r="O73" i="18"/>
  <c r="N73" i="18"/>
  <c r="M73" i="18"/>
  <c r="K73" i="18"/>
  <c r="J73" i="18"/>
  <c r="H73" i="18"/>
  <c r="G73" i="18"/>
  <c r="F73" i="18"/>
  <c r="E73" i="18"/>
  <c r="C73" i="18"/>
  <c r="B73" i="18"/>
  <c r="P72" i="18"/>
  <c r="O72" i="18"/>
  <c r="N72" i="18"/>
  <c r="M72" i="18"/>
  <c r="K72" i="18"/>
  <c r="J72" i="18"/>
  <c r="H72" i="18"/>
  <c r="G72" i="18"/>
  <c r="F72" i="18"/>
  <c r="E72" i="18"/>
  <c r="C72" i="18"/>
  <c r="B72" i="18"/>
  <c r="C7" i="20" s="1"/>
  <c r="P59" i="18"/>
  <c r="O59" i="18"/>
  <c r="N59" i="18"/>
  <c r="M59" i="18"/>
  <c r="K59" i="18"/>
  <c r="J59" i="18"/>
  <c r="H59" i="18"/>
  <c r="G59" i="18"/>
  <c r="F59" i="18"/>
  <c r="E59" i="18"/>
  <c r="C59" i="18"/>
  <c r="B25" i="20" s="1"/>
  <c r="B59" i="18"/>
  <c r="P58" i="18"/>
  <c r="O58" i="18"/>
  <c r="N58" i="18"/>
  <c r="M58" i="18"/>
  <c r="K58" i="18"/>
  <c r="J58" i="18"/>
  <c r="H58" i="18"/>
  <c r="G58" i="18"/>
  <c r="F58" i="18"/>
  <c r="E58" i="18"/>
  <c r="C58" i="18"/>
  <c r="B58" i="18"/>
  <c r="B24" i="20" s="1"/>
  <c r="P57" i="18"/>
  <c r="O57" i="18"/>
  <c r="N57" i="18"/>
  <c r="L57" i="18" s="1"/>
  <c r="B110" i="20" s="1"/>
  <c r="M57" i="18"/>
  <c r="K57" i="18"/>
  <c r="J57" i="18"/>
  <c r="H57" i="18"/>
  <c r="G57" i="18"/>
  <c r="F57" i="18"/>
  <c r="E57" i="18"/>
  <c r="C57" i="18"/>
  <c r="B57" i="18"/>
  <c r="P56" i="18"/>
  <c r="O56" i="18"/>
  <c r="N56" i="18"/>
  <c r="M56" i="18"/>
  <c r="K56" i="18"/>
  <c r="J56" i="18"/>
  <c r="H56" i="18"/>
  <c r="G56" i="18"/>
  <c r="F56" i="18"/>
  <c r="E56" i="18"/>
  <c r="C56" i="18"/>
  <c r="B56" i="18"/>
  <c r="P54" i="18"/>
  <c r="O54" i="18"/>
  <c r="N54" i="18"/>
  <c r="M54" i="18"/>
  <c r="K54" i="18"/>
  <c r="J54" i="18"/>
  <c r="H54" i="18"/>
  <c r="G54" i="18"/>
  <c r="F54" i="18"/>
  <c r="E54" i="18"/>
  <c r="C54" i="18"/>
  <c r="B54" i="18"/>
  <c r="P53" i="18"/>
  <c r="O53" i="18"/>
  <c r="N53" i="18"/>
  <c r="M53" i="18"/>
  <c r="K53" i="18"/>
  <c r="J53" i="18"/>
  <c r="H53" i="18"/>
  <c r="G53" i="18"/>
  <c r="F53" i="18"/>
  <c r="E53" i="18"/>
  <c r="D53" i="18" s="1"/>
  <c r="B47" i="20" s="1"/>
  <c r="C53" i="18"/>
  <c r="B53" i="18"/>
  <c r="B19" i="20" s="1"/>
  <c r="P52" i="18"/>
  <c r="O52" i="18"/>
  <c r="N52" i="18"/>
  <c r="M52" i="18"/>
  <c r="K52" i="18"/>
  <c r="J52" i="18"/>
  <c r="H52" i="18"/>
  <c r="G52" i="18"/>
  <c r="F52" i="18"/>
  <c r="E52" i="18"/>
  <c r="C52" i="18"/>
  <c r="B52" i="18"/>
  <c r="P51" i="18"/>
  <c r="O51" i="18"/>
  <c r="N51" i="18"/>
  <c r="M51" i="18"/>
  <c r="K51" i="18"/>
  <c r="J51" i="18"/>
  <c r="H51" i="18"/>
  <c r="G51" i="18"/>
  <c r="F51" i="18"/>
  <c r="E51" i="18"/>
  <c r="C51" i="18"/>
  <c r="B51" i="18"/>
  <c r="B17" i="20" s="1"/>
  <c r="P49" i="18"/>
  <c r="O49" i="18"/>
  <c r="N49" i="18"/>
  <c r="L49" i="18" s="1"/>
  <c r="B102" i="20" s="1"/>
  <c r="M49" i="18"/>
  <c r="K49" i="18"/>
  <c r="J49" i="18"/>
  <c r="H49" i="18"/>
  <c r="G49" i="18"/>
  <c r="F49" i="18"/>
  <c r="E49" i="18"/>
  <c r="C49" i="18"/>
  <c r="B49" i="18"/>
  <c r="P48" i="18"/>
  <c r="O48" i="18"/>
  <c r="N48" i="18"/>
  <c r="M48" i="18"/>
  <c r="K48" i="18"/>
  <c r="J48" i="18"/>
  <c r="H48" i="18"/>
  <c r="G48" i="18"/>
  <c r="F48" i="18"/>
  <c r="E48" i="18"/>
  <c r="C48" i="18"/>
  <c r="B48" i="18"/>
  <c r="P47" i="18"/>
  <c r="O47" i="18"/>
  <c r="N47" i="18"/>
  <c r="M47" i="18"/>
  <c r="K47" i="18"/>
  <c r="J47" i="18"/>
  <c r="H47" i="18"/>
  <c r="G47" i="18"/>
  <c r="F47" i="18"/>
  <c r="E47" i="18"/>
  <c r="C47" i="18"/>
  <c r="B47" i="18"/>
  <c r="P46" i="18"/>
  <c r="O46" i="18"/>
  <c r="N46" i="18"/>
  <c r="M46" i="18"/>
  <c r="K46" i="18"/>
  <c r="J46" i="18"/>
  <c r="H46" i="18"/>
  <c r="G46" i="18"/>
  <c r="F46" i="18"/>
  <c r="E46" i="18"/>
  <c r="C46" i="18"/>
  <c r="B46" i="18"/>
  <c r="B12" i="20" s="1"/>
  <c r="P44" i="18"/>
  <c r="O44" i="18"/>
  <c r="N44" i="18"/>
  <c r="M44" i="18"/>
  <c r="K44" i="18"/>
  <c r="J44" i="18"/>
  <c r="H44" i="18"/>
  <c r="G44" i="18"/>
  <c r="F44" i="18"/>
  <c r="E44" i="18"/>
  <c r="C44" i="18"/>
  <c r="B44" i="18"/>
  <c r="P43" i="18"/>
  <c r="O43" i="18"/>
  <c r="N43" i="18"/>
  <c r="M43" i="18"/>
  <c r="K43" i="18"/>
  <c r="J43" i="18"/>
  <c r="H43" i="18"/>
  <c r="G43" i="18"/>
  <c r="F43" i="18"/>
  <c r="E43" i="18"/>
  <c r="C43" i="18"/>
  <c r="B43" i="18"/>
  <c r="B9" i="20" s="1"/>
  <c r="P42" i="18"/>
  <c r="O42" i="18"/>
  <c r="N42" i="18"/>
  <c r="M42" i="18"/>
  <c r="K42" i="18"/>
  <c r="J42" i="18"/>
  <c r="H42" i="18"/>
  <c r="G42" i="18"/>
  <c r="F42" i="18"/>
  <c r="E42" i="18"/>
  <c r="C42" i="18"/>
  <c r="B42" i="18"/>
  <c r="P41" i="18"/>
  <c r="O41" i="18"/>
  <c r="N41" i="18"/>
  <c r="M41" i="18"/>
  <c r="K41" i="18"/>
  <c r="J41" i="18"/>
  <c r="H41" i="18"/>
  <c r="G41" i="18"/>
  <c r="F41" i="18"/>
  <c r="E41" i="18"/>
  <c r="C41" i="18"/>
  <c r="B41" i="18"/>
  <c r="B7" i="20" s="1"/>
  <c r="P27" i="18"/>
  <c r="O27" i="18"/>
  <c r="N27" i="18"/>
  <c r="M27" i="18"/>
  <c r="K27" i="18"/>
  <c r="J27" i="18"/>
  <c r="H27" i="18"/>
  <c r="G27" i="18"/>
  <c r="F27" i="18"/>
  <c r="E27" i="18"/>
  <c r="C27" i="18"/>
  <c r="H25" i="20" s="1"/>
  <c r="B27" i="18"/>
  <c r="P26" i="18"/>
  <c r="O26" i="18"/>
  <c r="N26" i="18"/>
  <c r="M26" i="18"/>
  <c r="K26" i="18"/>
  <c r="J26" i="18"/>
  <c r="H26" i="18"/>
  <c r="G26" i="18"/>
  <c r="F26" i="18"/>
  <c r="E26" i="18"/>
  <c r="C26" i="18"/>
  <c r="B26" i="18"/>
  <c r="H24" i="20" s="1"/>
  <c r="P25" i="18"/>
  <c r="O25" i="18"/>
  <c r="N25" i="18"/>
  <c r="L25" i="18" s="1"/>
  <c r="H110" i="20" s="1"/>
  <c r="M25" i="18"/>
  <c r="K25" i="18"/>
  <c r="J25" i="18"/>
  <c r="H25" i="18"/>
  <c r="G25" i="18"/>
  <c r="F25" i="18"/>
  <c r="E25" i="18"/>
  <c r="C25" i="18"/>
  <c r="B25" i="18"/>
  <c r="P24" i="18"/>
  <c r="O24" i="18"/>
  <c r="N24" i="18"/>
  <c r="M24" i="18"/>
  <c r="K24" i="18"/>
  <c r="J24" i="18"/>
  <c r="H24" i="18"/>
  <c r="G24" i="18"/>
  <c r="F24" i="18"/>
  <c r="E24" i="18"/>
  <c r="C24" i="18"/>
  <c r="B24" i="18"/>
  <c r="H22" i="20" s="1"/>
  <c r="P22" i="18"/>
  <c r="O22" i="18"/>
  <c r="N22" i="18"/>
  <c r="M22" i="18"/>
  <c r="K22" i="18"/>
  <c r="J22" i="18"/>
  <c r="H22" i="18"/>
  <c r="G22" i="18"/>
  <c r="F22" i="18"/>
  <c r="E22" i="18"/>
  <c r="C22" i="18"/>
  <c r="B22" i="18"/>
  <c r="P21" i="18"/>
  <c r="O21" i="18"/>
  <c r="N21" i="18"/>
  <c r="M21" i="18"/>
  <c r="K21" i="18"/>
  <c r="J21" i="18"/>
  <c r="H21" i="18"/>
  <c r="G21" i="18"/>
  <c r="F21" i="18"/>
  <c r="E21" i="18"/>
  <c r="C21" i="18"/>
  <c r="B21" i="18"/>
  <c r="P20" i="18"/>
  <c r="O20" i="18"/>
  <c r="N20" i="18"/>
  <c r="L20" i="18" s="1"/>
  <c r="H105" i="20" s="1"/>
  <c r="M20" i="18"/>
  <c r="K20" i="18"/>
  <c r="J20" i="18"/>
  <c r="H77" i="20" s="1"/>
  <c r="H20" i="18"/>
  <c r="G20" i="18"/>
  <c r="F20" i="18"/>
  <c r="E20" i="18"/>
  <c r="C20" i="18"/>
  <c r="B20" i="18"/>
  <c r="P19" i="18"/>
  <c r="O19" i="18"/>
  <c r="N19" i="18"/>
  <c r="M19" i="18"/>
  <c r="K19" i="18"/>
  <c r="J19" i="18"/>
  <c r="H19" i="18"/>
  <c r="G19" i="18"/>
  <c r="F19" i="18"/>
  <c r="E19" i="18"/>
  <c r="C19" i="18"/>
  <c r="B19" i="18"/>
  <c r="H17" i="20" s="1"/>
  <c r="P17" i="18"/>
  <c r="O17" i="18"/>
  <c r="N17" i="18"/>
  <c r="M17" i="18"/>
  <c r="K17" i="18"/>
  <c r="J17" i="18"/>
  <c r="H17" i="18"/>
  <c r="G17" i="18"/>
  <c r="F17" i="18"/>
  <c r="E17" i="18"/>
  <c r="C17" i="18"/>
  <c r="B17" i="18"/>
  <c r="P16" i="18"/>
  <c r="O16" i="18"/>
  <c r="N16" i="18"/>
  <c r="M16" i="18"/>
  <c r="K16" i="18"/>
  <c r="J16" i="18"/>
  <c r="H16" i="18"/>
  <c r="G16" i="18"/>
  <c r="F16" i="18"/>
  <c r="E16" i="18"/>
  <c r="C16" i="18"/>
  <c r="B16" i="18"/>
  <c r="H14" i="20" s="1"/>
  <c r="P15" i="18"/>
  <c r="O15" i="18"/>
  <c r="N15" i="18"/>
  <c r="L15" i="18" s="1"/>
  <c r="M15" i="18"/>
  <c r="K15" i="18"/>
  <c r="J15" i="18"/>
  <c r="H15" i="18"/>
  <c r="G15" i="18"/>
  <c r="F15" i="18"/>
  <c r="E15" i="18"/>
  <c r="C15" i="18"/>
  <c r="B15" i="18"/>
  <c r="P14" i="18"/>
  <c r="O14" i="18"/>
  <c r="N14" i="18"/>
  <c r="M14" i="18"/>
  <c r="K14" i="18"/>
  <c r="J14" i="18"/>
  <c r="H14" i="18"/>
  <c r="G14" i="18"/>
  <c r="F14" i="18"/>
  <c r="E14" i="18"/>
  <c r="C14" i="18"/>
  <c r="B14" i="18"/>
  <c r="H12" i="20" s="1"/>
  <c r="P12" i="18"/>
  <c r="O12" i="18"/>
  <c r="N12" i="18"/>
  <c r="L12" i="18" s="1"/>
  <c r="H97" i="20" s="1"/>
  <c r="M12" i="18"/>
  <c r="K12" i="18"/>
  <c r="J12" i="18"/>
  <c r="H12" i="18"/>
  <c r="G12" i="18"/>
  <c r="F12" i="18"/>
  <c r="E12" i="18"/>
  <c r="C12" i="18"/>
  <c r="B12" i="18"/>
  <c r="P11" i="18"/>
  <c r="O11" i="18"/>
  <c r="N11" i="18"/>
  <c r="M11" i="18"/>
  <c r="K11" i="18"/>
  <c r="J11" i="18"/>
  <c r="H11" i="18"/>
  <c r="G11" i="18"/>
  <c r="F11" i="18"/>
  <c r="E11" i="18"/>
  <c r="C11" i="18"/>
  <c r="B11" i="18"/>
  <c r="H9" i="20" s="1"/>
  <c r="P10" i="18"/>
  <c r="O10" i="18"/>
  <c r="N10" i="18"/>
  <c r="M10" i="18"/>
  <c r="K10" i="18"/>
  <c r="J10" i="18"/>
  <c r="H10" i="18"/>
  <c r="G10" i="18"/>
  <c r="F10" i="18"/>
  <c r="E10" i="18"/>
  <c r="C10" i="18"/>
  <c r="H8" i="20" s="1"/>
  <c r="B10" i="18"/>
  <c r="P9" i="18"/>
  <c r="O9" i="18"/>
  <c r="N9" i="18"/>
  <c r="M9" i="18"/>
  <c r="K9" i="18"/>
  <c r="J9" i="18"/>
  <c r="H9" i="18"/>
  <c r="G9" i="18"/>
  <c r="F9" i="18"/>
  <c r="E9" i="18"/>
  <c r="C9" i="18"/>
  <c r="B9" i="18"/>
  <c r="H7" i="20" s="1"/>
  <c r="Q454" i="18"/>
  <c r="Q449" i="18"/>
  <c r="Q444" i="18"/>
  <c r="Q439" i="18"/>
  <c r="Q438" i="18"/>
  <c r="Q437" i="18"/>
  <c r="Q436" i="18"/>
  <c r="Q435" i="18"/>
  <c r="Q434" i="18"/>
  <c r="Q433" i="18"/>
  <c r="Q432" i="18"/>
  <c r="Q431" i="18"/>
  <c r="Q430" i="18"/>
  <c r="Q429" i="18"/>
  <c r="Q424" i="18"/>
  <c r="Q419" i="18"/>
  <c r="Q414" i="18"/>
  <c r="Q409" i="18"/>
  <c r="Q408" i="18"/>
  <c r="Q407" i="18"/>
  <c r="Q406" i="18"/>
  <c r="Q405" i="18"/>
  <c r="Q404" i="18"/>
  <c r="Q403" i="18"/>
  <c r="Q402" i="18"/>
  <c r="Q401" i="18"/>
  <c r="Q400" i="18"/>
  <c r="Q399" i="18"/>
  <c r="Q394" i="18"/>
  <c r="Q389" i="18"/>
  <c r="Q384" i="18"/>
  <c r="Q379" i="18"/>
  <c r="Q378" i="18"/>
  <c r="Q377" i="18"/>
  <c r="Q376" i="18"/>
  <c r="Q375" i="18"/>
  <c r="Q374" i="18"/>
  <c r="Q373" i="18"/>
  <c r="Q372" i="18"/>
  <c r="Q371" i="18"/>
  <c r="Q370" i="18"/>
  <c r="Q369" i="18"/>
  <c r="Q368" i="18"/>
  <c r="Q363" i="18"/>
  <c r="Q358" i="18"/>
  <c r="D357" i="18"/>
  <c r="L43" i="20" s="1"/>
  <c r="Q353" i="18"/>
  <c r="Q348" i="18"/>
  <c r="Q347" i="18"/>
  <c r="Q346" i="18"/>
  <c r="Q345" i="18"/>
  <c r="Q344" i="18"/>
  <c r="Q343" i="18"/>
  <c r="Q342" i="18"/>
  <c r="Q341" i="18"/>
  <c r="Q340" i="18"/>
  <c r="Q338" i="18"/>
  <c r="Q337" i="18"/>
  <c r="D336" i="18"/>
  <c r="K53" i="20" s="1"/>
  <c r="Q332" i="18"/>
  <c r="Q327" i="18"/>
  <c r="Q322" i="18"/>
  <c r="Q317" i="18"/>
  <c r="Q316" i="18"/>
  <c r="Q315" i="18"/>
  <c r="Q314" i="18"/>
  <c r="Q313" i="18"/>
  <c r="Q312" i="18"/>
  <c r="Q311" i="18"/>
  <c r="Q310" i="18"/>
  <c r="Q309" i="18"/>
  <c r="Q308" i="18"/>
  <c r="Q307" i="18"/>
  <c r="Q306" i="18"/>
  <c r="Q301" i="18"/>
  <c r="Q296" i="18"/>
  <c r="Q291" i="18"/>
  <c r="D290" i="18"/>
  <c r="Q286" i="18"/>
  <c r="Q285" i="18"/>
  <c r="Q284" i="18"/>
  <c r="Q283" i="18"/>
  <c r="Q282" i="18"/>
  <c r="Q281" i="18"/>
  <c r="Q280" i="18"/>
  <c r="Q279" i="18"/>
  <c r="Q278" i="18"/>
  <c r="Q277" i="18"/>
  <c r="Q276" i="18"/>
  <c r="Q275" i="18"/>
  <c r="D274" i="18"/>
  <c r="Q270" i="18"/>
  <c r="Q265" i="18"/>
  <c r="D264" i="18"/>
  <c r="I43" i="20" s="1"/>
  <c r="Q260" i="18"/>
  <c r="Q255" i="18"/>
  <c r="Q254" i="18"/>
  <c r="Q253" i="18"/>
  <c r="Q252" i="18"/>
  <c r="Q251" i="18"/>
  <c r="Q250" i="18"/>
  <c r="Q249" i="18"/>
  <c r="Q248" i="18"/>
  <c r="Q247" i="18"/>
  <c r="Q246" i="18"/>
  <c r="Q245" i="18"/>
  <c r="Q244" i="18"/>
  <c r="Q239" i="18"/>
  <c r="Q234" i="18"/>
  <c r="Q229" i="18"/>
  <c r="Q224" i="18"/>
  <c r="Q223" i="18"/>
  <c r="Q222" i="18"/>
  <c r="Q221" i="18"/>
  <c r="Q220" i="18"/>
  <c r="Q219" i="18"/>
  <c r="Q218" i="18"/>
  <c r="Q217" i="18"/>
  <c r="R216" i="18"/>
  <c r="Q216" i="18"/>
  <c r="R215" i="18"/>
  <c r="Q215" i="18"/>
  <c r="R214" i="18"/>
  <c r="Q214" i="18"/>
  <c r="R213" i="18"/>
  <c r="Q213" i="18"/>
  <c r="R208" i="18"/>
  <c r="Q208" i="18"/>
  <c r="R203" i="18"/>
  <c r="Q203" i="18"/>
  <c r="R198" i="18"/>
  <c r="Q198" i="18"/>
  <c r="L195" i="18"/>
  <c r="G95" i="20" s="1"/>
  <c r="R193" i="18"/>
  <c r="Q193" i="18"/>
  <c r="R192" i="18"/>
  <c r="Q192" i="18"/>
  <c r="R191" i="18"/>
  <c r="Q191" i="18"/>
  <c r="R190" i="18"/>
  <c r="Q190" i="18"/>
  <c r="R189" i="18"/>
  <c r="Q189" i="18"/>
  <c r="R188" i="18"/>
  <c r="Q188" i="18"/>
  <c r="R187" i="18"/>
  <c r="Q187" i="18"/>
  <c r="R186" i="18"/>
  <c r="Q186" i="18"/>
  <c r="R185" i="18"/>
  <c r="Q185" i="18"/>
  <c r="R184" i="18"/>
  <c r="Q184" i="18"/>
  <c r="R183" i="18"/>
  <c r="Q183" i="18"/>
  <c r="R178" i="18"/>
  <c r="Q178" i="18"/>
  <c r="R173" i="18"/>
  <c r="Q173" i="18"/>
  <c r="R168" i="18"/>
  <c r="Q168" i="18"/>
  <c r="R163" i="18"/>
  <c r="Q163" i="18"/>
  <c r="R162" i="18"/>
  <c r="Q162" i="18"/>
  <c r="R161" i="18"/>
  <c r="Q161" i="18"/>
  <c r="R160" i="18"/>
  <c r="Q160" i="18"/>
  <c r="R159" i="18"/>
  <c r="Q159" i="18"/>
  <c r="R158" i="18"/>
  <c r="Q158" i="18"/>
  <c r="R157" i="18"/>
  <c r="Q157" i="18"/>
  <c r="R156" i="18"/>
  <c r="Q156" i="18"/>
  <c r="R155" i="18"/>
  <c r="Q155" i="18"/>
  <c r="R153" i="18"/>
  <c r="Q153" i="18"/>
  <c r="R152" i="18"/>
  <c r="Q152" i="18"/>
  <c r="R147" i="18"/>
  <c r="Q147" i="18"/>
  <c r="R142" i="18"/>
  <c r="Q142" i="18"/>
  <c r="R137" i="18"/>
  <c r="Q137" i="18"/>
  <c r="R132" i="18"/>
  <c r="Q132" i="18"/>
  <c r="R131" i="18"/>
  <c r="Q131" i="18"/>
  <c r="R130" i="18"/>
  <c r="Q130" i="18"/>
  <c r="R129" i="18"/>
  <c r="Q129" i="18"/>
  <c r="R128" i="18"/>
  <c r="Q128" i="18"/>
  <c r="R127" i="18"/>
  <c r="Q127" i="18"/>
  <c r="R126" i="18"/>
  <c r="Q126" i="18"/>
  <c r="R125" i="18"/>
  <c r="Q125" i="18"/>
  <c r="R124" i="18"/>
  <c r="Q124" i="18"/>
  <c r="R123" i="18"/>
  <c r="Q123" i="18"/>
  <c r="R122" i="18"/>
  <c r="Q122" i="18"/>
  <c r="R121" i="18"/>
  <c r="Q121" i="18"/>
  <c r="R116" i="18"/>
  <c r="Q116" i="18"/>
  <c r="L113" i="18"/>
  <c r="D105" i="20" s="1"/>
  <c r="R111" i="18"/>
  <c r="Q111" i="18"/>
  <c r="R106" i="18"/>
  <c r="Q106" i="18"/>
  <c r="R101" i="18"/>
  <c r="Q101" i="18"/>
  <c r="R100" i="18"/>
  <c r="Q100" i="18"/>
  <c r="R99" i="18"/>
  <c r="Q99" i="18"/>
  <c r="R98" i="18"/>
  <c r="Q98" i="18"/>
  <c r="R97" i="18"/>
  <c r="Q97" i="18"/>
  <c r="R96" i="18"/>
  <c r="Q96" i="18"/>
  <c r="R95" i="18"/>
  <c r="Q95" i="18"/>
  <c r="R94" i="18"/>
  <c r="Q94" i="18"/>
  <c r="R93" i="18"/>
  <c r="Q93" i="18"/>
  <c r="R92" i="18"/>
  <c r="Q92" i="18"/>
  <c r="R91" i="18"/>
  <c r="Q91" i="18"/>
  <c r="R86" i="18"/>
  <c r="Q86" i="18"/>
  <c r="R81" i="18"/>
  <c r="Q81" i="18"/>
  <c r="R76" i="18"/>
  <c r="Q76" i="18"/>
  <c r="R71" i="18"/>
  <c r="Q71" i="18"/>
  <c r="R70" i="18"/>
  <c r="Q70" i="18"/>
  <c r="R69" i="18"/>
  <c r="Q69" i="18"/>
  <c r="R68" i="18"/>
  <c r="Q68" i="18"/>
  <c r="R67" i="18"/>
  <c r="Q67" i="18"/>
  <c r="R66" i="18"/>
  <c r="Q66" i="18"/>
  <c r="R65" i="18"/>
  <c r="Q65" i="18"/>
  <c r="R64" i="18"/>
  <c r="Q64" i="18"/>
  <c r="R63" i="18"/>
  <c r="Q63" i="18"/>
  <c r="R62" i="18"/>
  <c r="Q62" i="18"/>
  <c r="R61" i="18"/>
  <c r="Q61" i="18"/>
  <c r="R60" i="18"/>
  <c r="Q60" i="18"/>
  <c r="R55" i="18"/>
  <c r="Q55" i="18"/>
  <c r="R50" i="18"/>
  <c r="Q50" i="18"/>
  <c r="R45" i="18"/>
  <c r="Q45" i="18"/>
  <c r="R40" i="18"/>
  <c r="Q40" i="18"/>
  <c r="R39" i="18"/>
  <c r="Q39" i="18"/>
  <c r="R38" i="18"/>
  <c r="Q38" i="18"/>
  <c r="R37" i="18"/>
  <c r="Q37" i="18"/>
  <c r="R36" i="18"/>
  <c r="Q36" i="18"/>
  <c r="R35" i="18"/>
  <c r="Q35" i="18"/>
  <c r="R34" i="18"/>
  <c r="Q34" i="18"/>
  <c r="R33" i="18"/>
  <c r="Q33" i="18"/>
  <c r="R32" i="18"/>
  <c r="Q32" i="18"/>
  <c r="R31" i="18"/>
  <c r="Q31" i="18"/>
  <c r="R30" i="18"/>
  <c r="Q30" i="18"/>
  <c r="R29" i="18"/>
  <c r="Q29" i="18"/>
  <c r="R28" i="18"/>
  <c r="Q28" i="18"/>
  <c r="R23" i="18"/>
  <c r="Q23" i="18"/>
  <c r="R18" i="18"/>
  <c r="Q18" i="18"/>
  <c r="R13" i="18"/>
  <c r="Q13" i="18"/>
  <c r="H458" i="17"/>
  <c r="G458" i="17"/>
  <c r="F458" i="17"/>
  <c r="E458" i="17"/>
  <c r="C458" i="17"/>
  <c r="B458" i="17"/>
  <c r="H457" i="17"/>
  <c r="G457" i="17"/>
  <c r="F457" i="17"/>
  <c r="E457" i="17"/>
  <c r="C457" i="17"/>
  <c r="B457" i="17"/>
  <c r="H456" i="17"/>
  <c r="G456" i="17"/>
  <c r="F456" i="17"/>
  <c r="E456" i="17"/>
  <c r="C456" i="17"/>
  <c r="B456" i="17"/>
  <c r="H455" i="17"/>
  <c r="G455" i="17"/>
  <c r="F455" i="17"/>
  <c r="E455" i="17"/>
  <c r="C455" i="17"/>
  <c r="B455" i="17"/>
  <c r="H453" i="17"/>
  <c r="G453" i="17"/>
  <c r="F453" i="17"/>
  <c r="E453" i="17"/>
  <c r="C453" i="17"/>
  <c r="B453" i="17"/>
  <c r="H452" i="17"/>
  <c r="G452" i="17"/>
  <c r="F452" i="17"/>
  <c r="E452" i="17"/>
  <c r="C452" i="17"/>
  <c r="B452" i="17"/>
  <c r="H451" i="17"/>
  <c r="G451" i="17"/>
  <c r="F451" i="17"/>
  <c r="E451" i="17"/>
  <c r="C451" i="17"/>
  <c r="B451" i="17"/>
  <c r="H450" i="17"/>
  <c r="G450" i="17"/>
  <c r="F450" i="17"/>
  <c r="E450" i="17"/>
  <c r="C450" i="17"/>
  <c r="B450" i="17"/>
  <c r="H448" i="17"/>
  <c r="G448" i="17"/>
  <c r="F448" i="17"/>
  <c r="E448" i="17"/>
  <c r="C448" i="17"/>
  <c r="B448" i="17"/>
  <c r="H447" i="17"/>
  <c r="G447" i="17"/>
  <c r="F447" i="17"/>
  <c r="E447" i="17"/>
  <c r="C447" i="17"/>
  <c r="B447" i="17"/>
  <c r="H446" i="17"/>
  <c r="G446" i="17"/>
  <c r="F446" i="17"/>
  <c r="E446" i="17"/>
  <c r="C446" i="17"/>
  <c r="B446" i="17"/>
  <c r="H445" i="17"/>
  <c r="G445" i="17"/>
  <c r="F445" i="17"/>
  <c r="E445" i="17"/>
  <c r="C445" i="17"/>
  <c r="B445" i="17"/>
  <c r="H443" i="17"/>
  <c r="G443" i="17"/>
  <c r="F443" i="17"/>
  <c r="E443" i="17"/>
  <c r="C443" i="17"/>
  <c r="B443" i="17"/>
  <c r="H442" i="17"/>
  <c r="G442" i="17"/>
  <c r="F442" i="17"/>
  <c r="E442" i="17"/>
  <c r="C442" i="17"/>
  <c r="B442" i="17"/>
  <c r="H441" i="17"/>
  <c r="G441" i="17"/>
  <c r="F441" i="17"/>
  <c r="E441" i="17"/>
  <c r="C441" i="17"/>
  <c r="B441" i="17"/>
  <c r="H440" i="17"/>
  <c r="G440" i="17"/>
  <c r="F440" i="17"/>
  <c r="E440" i="17"/>
  <c r="C440" i="17"/>
  <c r="B440" i="17"/>
  <c r="H428" i="17"/>
  <c r="G428" i="17"/>
  <c r="F428" i="17"/>
  <c r="E428" i="17"/>
  <c r="C428" i="17"/>
  <c r="B428" i="17"/>
  <c r="H427" i="17"/>
  <c r="G427" i="17"/>
  <c r="F427" i="17"/>
  <c r="E427" i="17"/>
  <c r="C427" i="17"/>
  <c r="B427" i="17"/>
  <c r="H426" i="17"/>
  <c r="G426" i="17"/>
  <c r="F426" i="17"/>
  <c r="E426" i="17"/>
  <c r="C426" i="17"/>
  <c r="B426" i="17"/>
  <c r="H425" i="17"/>
  <c r="G425" i="17"/>
  <c r="F425" i="17"/>
  <c r="E425" i="17"/>
  <c r="C425" i="17"/>
  <c r="B425" i="17"/>
  <c r="H423" i="17"/>
  <c r="G423" i="17"/>
  <c r="F423" i="17"/>
  <c r="E423" i="17"/>
  <c r="C423" i="17"/>
  <c r="B423" i="17"/>
  <c r="H422" i="17"/>
  <c r="G422" i="17"/>
  <c r="F422" i="17"/>
  <c r="E422" i="17"/>
  <c r="C422" i="17"/>
  <c r="B422" i="17"/>
  <c r="H421" i="17"/>
  <c r="G421" i="17"/>
  <c r="F421" i="17"/>
  <c r="E421" i="17"/>
  <c r="C421" i="17"/>
  <c r="B421" i="17"/>
  <c r="H420" i="17"/>
  <c r="G420" i="17"/>
  <c r="F420" i="17"/>
  <c r="E420" i="17"/>
  <c r="C420" i="17"/>
  <c r="B420" i="17"/>
  <c r="H418" i="17"/>
  <c r="G418" i="17"/>
  <c r="F418" i="17"/>
  <c r="E418" i="17"/>
  <c r="C418" i="17"/>
  <c r="B418" i="17"/>
  <c r="H417" i="17"/>
  <c r="G417" i="17"/>
  <c r="F417" i="17"/>
  <c r="E417" i="17"/>
  <c r="C417" i="17"/>
  <c r="B417" i="17"/>
  <c r="H416" i="17"/>
  <c r="G416" i="17"/>
  <c r="F416" i="17"/>
  <c r="E416" i="17"/>
  <c r="C416" i="17"/>
  <c r="B416" i="17"/>
  <c r="H415" i="17"/>
  <c r="G415" i="17"/>
  <c r="F415" i="17"/>
  <c r="E415" i="17"/>
  <c r="C415" i="17"/>
  <c r="B415" i="17"/>
  <c r="H413" i="17"/>
  <c r="G413" i="17"/>
  <c r="F413" i="17"/>
  <c r="E413" i="17"/>
  <c r="C413" i="17"/>
  <c r="B413" i="17"/>
  <c r="H412" i="17"/>
  <c r="G412" i="17"/>
  <c r="F412" i="17"/>
  <c r="E412" i="17"/>
  <c r="C412" i="17"/>
  <c r="B412" i="17"/>
  <c r="H411" i="17"/>
  <c r="G411" i="17"/>
  <c r="F411" i="17"/>
  <c r="E411" i="17"/>
  <c r="C411" i="17"/>
  <c r="B411" i="17"/>
  <c r="H410" i="17"/>
  <c r="G410" i="17"/>
  <c r="F410" i="17"/>
  <c r="E410" i="17"/>
  <c r="C410" i="17"/>
  <c r="B410" i="17"/>
  <c r="H398" i="17"/>
  <c r="G398" i="17"/>
  <c r="F398" i="17"/>
  <c r="E398" i="17"/>
  <c r="C398" i="17"/>
  <c r="B398" i="17"/>
  <c r="H397" i="17"/>
  <c r="G397" i="17"/>
  <c r="F397" i="17"/>
  <c r="E397" i="17"/>
  <c r="C397" i="17"/>
  <c r="B397" i="17"/>
  <c r="H396" i="17"/>
  <c r="G396" i="17"/>
  <c r="F396" i="17"/>
  <c r="E396" i="17"/>
  <c r="C396" i="17"/>
  <c r="B396" i="17"/>
  <c r="H395" i="17"/>
  <c r="G395" i="17"/>
  <c r="F395" i="17"/>
  <c r="E395" i="17"/>
  <c r="C395" i="17"/>
  <c r="B395" i="17"/>
  <c r="H393" i="17"/>
  <c r="G393" i="17"/>
  <c r="F393" i="17"/>
  <c r="E393" i="17"/>
  <c r="C393" i="17"/>
  <c r="B393" i="17"/>
  <c r="H392" i="17"/>
  <c r="G392" i="17"/>
  <c r="F392" i="17"/>
  <c r="E392" i="17"/>
  <c r="C392" i="17"/>
  <c r="B392" i="17"/>
  <c r="H391" i="17"/>
  <c r="G391" i="17"/>
  <c r="F391" i="17"/>
  <c r="E391" i="17"/>
  <c r="C391" i="17"/>
  <c r="B391" i="17"/>
  <c r="H390" i="17"/>
  <c r="G390" i="17"/>
  <c r="F390" i="17"/>
  <c r="E390" i="17"/>
  <c r="C390" i="17"/>
  <c r="B390" i="17"/>
  <c r="H388" i="17"/>
  <c r="G388" i="17"/>
  <c r="F388" i="17"/>
  <c r="E388" i="17"/>
  <c r="C388" i="17"/>
  <c r="B388" i="17"/>
  <c r="H387" i="17"/>
  <c r="G387" i="17"/>
  <c r="F387" i="17"/>
  <c r="E387" i="17"/>
  <c r="C387" i="17"/>
  <c r="B387" i="17"/>
  <c r="H386" i="17"/>
  <c r="G386" i="17"/>
  <c r="F386" i="17"/>
  <c r="E386" i="17"/>
  <c r="C386" i="17"/>
  <c r="B386" i="17"/>
  <c r="H385" i="17"/>
  <c r="G385" i="17"/>
  <c r="F385" i="17"/>
  <c r="E385" i="17"/>
  <c r="C385" i="17"/>
  <c r="B385" i="17"/>
  <c r="H383" i="17"/>
  <c r="G383" i="17"/>
  <c r="F383" i="17"/>
  <c r="E383" i="17"/>
  <c r="C383" i="17"/>
  <c r="B383" i="17"/>
  <c r="H382" i="17"/>
  <c r="G382" i="17"/>
  <c r="F382" i="17"/>
  <c r="E382" i="17"/>
  <c r="C382" i="17"/>
  <c r="B382" i="17"/>
  <c r="H381" i="17"/>
  <c r="G381" i="17"/>
  <c r="F381" i="17"/>
  <c r="E381" i="17"/>
  <c r="C381" i="17"/>
  <c r="B381" i="17"/>
  <c r="H380" i="17"/>
  <c r="G380" i="17"/>
  <c r="F380" i="17"/>
  <c r="E380" i="17"/>
  <c r="C380" i="17"/>
  <c r="B380" i="17"/>
  <c r="H367" i="17"/>
  <c r="G367" i="17"/>
  <c r="F367" i="17"/>
  <c r="E367" i="17"/>
  <c r="C367" i="17"/>
  <c r="B367" i="17"/>
  <c r="H366" i="17"/>
  <c r="G366" i="17"/>
  <c r="F366" i="17"/>
  <c r="E366" i="17"/>
  <c r="C366" i="17"/>
  <c r="B366" i="17"/>
  <c r="H365" i="17"/>
  <c r="G365" i="17"/>
  <c r="F365" i="17"/>
  <c r="E365" i="17"/>
  <c r="C365" i="17"/>
  <c r="B365" i="17"/>
  <c r="H364" i="17"/>
  <c r="G364" i="17"/>
  <c r="F364" i="17"/>
  <c r="E364" i="17"/>
  <c r="C364" i="17"/>
  <c r="B364" i="17"/>
  <c r="H362" i="17"/>
  <c r="G362" i="17"/>
  <c r="F362" i="17"/>
  <c r="E362" i="17"/>
  <c r="C362" i="17"/>
  <c r="B362" i="17"/>
  <c r="H361" i="17"/>
  <c r="G361" i="17"/>
  <c r="F361" i="17"/>
  <c r="E361" i="17"/>
  <c r="C361" i="17"/>
  <c r="B361" i="17"/>
  <c r="H360" i="17"/>
  <c r="G360" i="17"/>
  <c r="F360" i="17"/>
  <c r="E360" i="17"/>
  <c r="C360" i="17"/>
  <c r="B360" i="17"/>
  <c r="H359" i="17"/>
  <c r="G359" i="17"/>
  <c r="F359" i="17"/>
  <c r="E359" i="17"/>
  <c r="C359" i="17"/>
  <c r="B359" i="17"/>
  <c r="H357" i="17"/>
  <c r="G357" i="17"/>
  <c r="F357" i="17"/>
  <c r="E357" i="17"/>
  <c r="C357" i="17"/>
  <c r="B357" i="17"/>
  <c r="H356" i="17"/>
  <c r="G356" i="17"/>
  <c r="F356" i="17"/>
  <c r="E356" i="17"/>
  <c r="C356" i="17"/>
  <c r="B356" i="17"/>
  <c r="H355" i="17"/>
  <c r="G355" i="17"/>
  <c r="F355" i="17"/>
  <c r="E355" i="17"/>
  <c r="C355" i="17"/>
  <c r="B355" i="17"/>
  <c r="H354" i="17"/>
  <c r="G354" i="17"/>
  <c r="F354" i="17"/>
  <c r="E354" i="17"/>
  <c r="C354" i="17"/>
  <c r="B354" i="17"/>
  <c r="H352" i="17"/>
  <c r="G352" i="17"/>
  <c r="F352" i="17"/>
  <c r="E352" i="17"/>
  <c r="C352" i="17"/>
  <c r="B352" i="17"/>
  <c r="H351" i="17"/>
  <c r="G351" i="17"/>
  <c r="F351" i="17"/>
  <c r="E351" i="17"/>
  <c r="C351" i="17"/>
  <c r="B351" i="17"/>
  <c r="H350" i="17"/>
  <c r="G350" i="17"/>
  <c r="F350" i="17"/>
  <c r="E350" i="17"/>
  <c r="C350" i="17"/>
  <c r="B350" i="17"/>
  <c r="H349" i="17"/>
  <c r="G349" i="17"/>
  <c r="F349" i="17"/>
  <c r="E349" i="17"/>
  <c r="C349" i="17"/>
  <c r="B349" i="17"/>
  <c r="H336" i="17"/>
  <c r="G336" i="17"/>
  <c r="F336" i="17"/>
  <c r="E336" i="17"/>
  <c r="C336" i="17"/>
  <c r="B336" i="17"/>
  <c r="H335" i="17"/>
  <c r="G335" i="17"/>
  <c r="F335" i="17"/>
  <c r="E335" i="17"/>
  <c r="C335" i="17"/>
  <c r="B335" i="17"/>
  <c r="H334" i="17"/>
  <c r="G334" i="17"/>
  <c r="F334" i="17"/>
  <c r="E334" i="17"/>
  <c r="C334" i="17"/>
  <c r="B334" i="17"/>
  <c r="H333" i="17"/>
  <c r="G333" i="17"/>
  <c r="F333" i="17"/>
  <c r="E333" i="17"/>
  <c r="C333" i="17"/>
  <c r="B333" i="17"/>
  <c r="H331" i="17"/>
  <c r="G331" i="17"/>
  <c r="F331" i="17"/>
  <c r="E331" i="17"/>
  <c r="C331" i="17"/>
  <c r="B331" i="17"/>
  <c r="H330" i="17"/>
  <c r="G330" i="17"/>
  <c r="F330" i="17"/>
  <c r="E330" i="17"/>
  <c r="C330" i="17"/>
  <c r="B330" i="17"/>
  <c r="H329" i="17"/>
  <c r="G329" i="17"/>
  <c r="F329" i="17"/>
  <c r="E329" i="17"/>
  <c r="C329" i="17"/>
  <c r="B329" i="17"/>
  <c r="H328" i="17"/>
  <c r="G328" i="17"/>
  <c r="F328" i="17"/>
  <c r="E328" i="17"/>
  <c r="C328" i="17"/>
  <c r="B328" i="17"/>
  <c r="H326" i="17"/>
  <c r="G326" i="17"/>
  <c r="F326" i="17"/>
  <c r="E326" i="17"/>
  <c r="C326" i="17"/>
  <c r="B326" i="17"/>
  <c r="H325" i="17"/>
  <c r="G325" i="17"/>
  <c r="F325" i="17"/>
  <c r="E325" i="17"/>
  <c r="C325" i="17"/>
  <c r="B325" i="17"/>
  <c r="H324" i="17"/>
  <c r="G324" i="17"/>
  <c r="F324" i="17"/>
  <c r="E324" i="17"/>
  <c r="C324" i="17"/>
  <c r="B324" i="17"/>
  <c r="H323" i="17"/>
  <c r="G323" i="17"/>
  <c r="F323" i="17"/>
  <c r="E323" i="17"/>
  <c r="C323" i="17"/>
  <c r="B323" i="17"/>
  <c r="H321" i="17"/>
  <c r="G321" i="17"/>
  <c r="F321" i="17"/>
  <c r="E321" i="17"/>
  <c r="C321" i="17"/>
  <c r="B321" i="17"/>
  <c r="H320" i="17"/>
  <c r="G320" i="17"/>
  <c r="F320" i="17"/>
  <c r="E320" i="17"/>
  <c r="C320" i="17"/>
  <c r="B320" i="17"/>
  <c r="H319" i="17"/>
  <c r="G319" i="17"/>
  <c r="F319" i="17"/>
  <c r="E319" i="17"/>
  <c r="C319" i="17"/>
  <c r="B319" i="17"/>
  <c r="H318" i="17"/>
  <c r="G318" i="17"/>
  <c r="F318" i="17"/>
  <c r="E318" i="17"/>
  <c r="C318" i="17"/>
  <c r="B318" i="17"/>
  <c r="H305" i="17"/>
  <c r="G305" i="17"/>
  <c r="F305" i="17"/>
  <c r="E305" i="17"/>
  <c r="C305" i="17"/>
  <c r="B305" i="17"/>
  <c r="H304" i="17"/>
  <c r="G304" i="17"/>
  <c r="F304" i="17"/>
  <c r="E304" i="17"/>
  <c r="C304" i="17"/>
  <c r="B304" i="17"/>
  <c r="H303" i="17"/>
  <c r="G303" i="17"/>
  <c r="F303" i="17"/>
  <c r="E303" i="17"/>
  <c r="C303" i="17"/>
  <c r="B303" i="17"/>
  <c r="H302" i="17"/>
  <c r="G302" i="17"/>
  <c r="F302" i="17"/>
  <c r="E302" i="17"/>
  <c r="C302" i="17"/>
  <c r="B302" i="17"/>
  <c r="H300" i="17"/>
  <c r="G300" i="17"/>
  <c r="F300" i="17"/>
  <c r="E300" i="17"/>
  <c r="C300" i="17"/>
  <c r="B300" i="17"/>
  <c r="H299" i="17"/>
  <c r="G299" i="17"/>
  <c r="F299" i="17"/>
  <c r="E299" i="17"/>
  <c r="C299" i="17"/>
  <c r="B299" i="17"/>
  <c r="H298" i="17"/>
  <c r="G298" i="17"/>
  <c r="F298" i="17"/>
  <c r="E298" i="17"/>
  <c r="C298" i="17"/>
  <c r="B298" i="17"/>
  <c r="H297" i="17"/>
  <c r="G297" i="17"/>
  <c r="F297" i="17"/>
  <c r="E297" i="17"/>
  <c r="C297" i="17"/>
  <c r="B297" i="17"/>
  <c r="H295" i="17"/>
  <c r="G295" i="17"/>
  <c r="F295" i="17"/>
  <c r="E295" i="17"/>
  <c r="C295" i="17"/>
  <c r="B295" i="17"/>
  <c r="H294" i="17"/>
  <c r="G294" i="17"/>
  <c r="F294" i="17"/>
  <c r="E294" i="17"/>
  <c r="C294" i="17"/>
  <c r="B294" i="17"/>
  <c r="H293" i="17"/>
  <c r="G293" i="17"/>
  <c r="F293" i="17"/>
  <c r="E293" i="17"/>
  <c r="C293" i="17"/>
  <c r="B293" i="17"/>
  <c r="H292" i="17"/>
  <c r="G292" i="17"/>
  <c r="F292" i="17"/>
  <c r="E292" i="17"/>
  <c r="C292" i="17"/>
  <c r="B292" i="17"/>
  <c r="H290" i="17"/>
  <c r="G290" i="17"/>
  <c r="F290" i="17"/>
  <c r="E290" i="17"/>
  <c r="C290" i="17"/>
  <c r="B290" i="17"/>
  <c r="H289" i="17"/>
  <c r="G289" i="17"/>
  <c r="F289" i="17"/>
  <c r="E289" i="17"/>
  <c r="C289" i="17"/>
  <c r="B289" i="17"/>
  <c r="H288" i="17"/>
  <c r="G288" i="17"/>
  <c r="F288" i="17"/>
  <c r="E288" i="17"/>
  <c r="C288" i="17"/>
  <c r="B288" i="17"/>
  <c r="H287" i="17"/>
  <c r="G287" i="17"/>
  <c r="F287" i="17"/>
  <c r="E287" i="17"/>
  <c r="C287" i="17"/>
  <c r="B287" i="17"/>
  <c r="H274" i="17"/>
  <c r="G274" i="17"/>
  <c r="F274" i="17"/>
  <c r="E274" i="17"/>
  <c r="C274" i="17"/>
  <c r="B274" i="17"/>
  <c r="H273" i="17"/>
  <c r="G273" i="17"/>
  <c r="F273" i="17"/>
  <c r="E273" i="17"/>
  <c r="C273" i="17"/>
  <c r="B273" i="17"/>
  <c r="H272" i="17"/>
  <c r="G272" i="17"/>
  <c r="F272" i="17"/>
  <c r="E272" i="17"/>
  <c r="C272" i="17"/>
  <c r="B272" i="17"/>
  <c r="H271" i="17"/>
  <c r="G271" i="17"/>
  <c r="F271" i="17"/>
  <c r="E271" i="17"/>
  <c r="C271" i="17"/>
  <c r="B271" i="17"/>
  <c r="H269" i="17"/>
  <c r="G269" i="17"/>
  <c r="F269" i="17"/>
  <c r="E269" i="17"/>
  <c r="C269" i="17"/>
  <c r="B269" i="17"/>
  <c r="H268" i="17"/>
  <c r="G268" i="17"/>
  <c r="F268" i="17"/>
  <c r="E268" i="17"/>
  <c r="C268" i="17"/>
  <c r="B268" i="17"/>
  <c r="H267" i="17"/>
  <c r="G267" i="17"/>
  <c r="F267" i="17"/>
  <c r="E267" i="17"/>
  <c r="C267" i="17"/>
  <c r="B267" i="17"/>
  <c r="H266" i="17"/>
  <c r="G266" i="17"/>
  <c r="F266" i="17"/>
  <c r="E266" i="17"/>
  <c r="C266" i="17"/>
  <c r="B266" i="17"/>
  <c r="H264" i="17"/>
  <c r="G264" i="17"/>
  <c r="F264" i="17"/>
  <c r="E264" i="17"/>
  <c r="C264" i="17"/>
  <c r="B264" i="17"/>
  <c r="H263" i="17"/>
  <c r="G263" i="17"/>
  <c r="F263" i="17"/>
  <c r="E263" i="17"/>
  <c r="C263" i="17"/>
  <c r="B263" i="17"/>
  <c r="H262" i="17"/>
  <c r="G262" i="17"/>
  <c r="F262" i="17"/>
  <c r="E262" i="17"/>
  <c r="C262" i="17"/>
  <c r="B262" i="17"/>
  <c r="H261" i="17"/>
  <c r="G261" i="17"/>
  <c r="F261" i="17"/>
  <c r="E261" i="17"/>
  <c r="C261" i="17"/>
  <c r="B261" i="17"/>
  <c r="H259" i="17"/>
  <c r="G259" i="17"/>
  <c r="F259" i="17"/>
  <c r="E259" i="17"/>
  <c r="C259" i="17"/>
  <c r="B259" i="17"/>
  <c r="H258" i="17"/>
  <c r="G258" i="17"/>
  <c r="F258" i="17"/>
  <c r="E258" i="17"/>
  <c r="C258" i="17"/>
  <c r="B258" i="17"/>
  <c r="H257" i="17"/>
  <c r="G257" i="17"/>
  <c r="F257" i="17"/>
  <c r="E257" i="17"/>
  <c r="C257" i="17"/>
  <c r="B257" i="17"/>
  <c r="H256" i="17"/>
  <c r="G256" i="17"/>
  <c r="F256" i="17"/>
  <c r="E256" i="17"/>
  <c r="C256" i="17"/>
  <c r="B256" i="17"/>
  <c r="H243" i="17"/>
  <c r="G243" i="17"/>
  <c r="F243" i="17"/>
  <c r="E243" i="17"/>
  <c r="C243" i="17"/>
  <c r="B243" i="17"/>
  <c r="H242" i="17"/>
  <c r="G242" i="17"/>
  <c r="F242" i="17"/>
  <c r="E242" i="17"/>
  <c r="C242" i="17"/>
  <c r="B242" i="17"/>
  <c r="H241" i="17"/>
  <c r="G241" i="17"/>
  <c r="F241" i="17"/>
  <c r="E241" i="17"/>
  <c r="C241" i="17"/>
  <c r="B241" i="17"/>
  <c r="H240" i="17"/>
  <c r="G240" i="17"/>
  <c r="F240" i="17"/>
  <c r="E240" i="17"/>
  <c r="C240" i="17"/>
  <c r="B240" i="17"/>
  <c r="H238" i="17"/>
  <c r="G238" i="17"/>
  <c r="F238" i="17"/>
  <c r="E238" i="17"/>
  <c r="C238" i="17"/>
  <c r="B238" i="17"/>
  <c r="H237" i="17"/>
  <c r="G237" i="17"/>
  <c r="F237" i="17"/>
  <c r="E237" i="17"/>
  <c r="C237" i="17"/>
  <c r="B237" i="17"/>
  <c r="H236" i="17"/>
  <c r="G236" i="17"/>
  <c r="F236" i="17"/>
  <c r="E236" i="17"/>
  <c r="C236" i="17"/>
  <c r="B236" i="17"/>
  <c r="H235" i="17"/>
  <c r="G235" i="17"/>
  <c r="F235" i="17"/>
  <c r="E235" i="17"/>
  <c r="C235" i="17"/>
  <c r="B235" i="17"/>
  <c r="H233" i="17"/>
  <c r="G233" i="17"/>
  <c r="F233" i="17"/>
  <c r="E233" i="17"/>
  <c r="C233" i="17"/>
  <c r="B233" i="17"/>
  <c r="M15" i="19" s="1"/>
  <c r="H232" i="17"/>
  <c r="G232" i="17"/>
  <c r="F232" i="17"/>
  <c r="E232" i="17"/>
  <c r="C232" i="17"/>
  <c r="B232" i="17"/>
  <c r="H231" i="17"/>
  <c r="G231" i="17"/>
  <c r="F231" i="17"/>
  <c r="E231" i="17"/>
  <c r="C231" i="17"/>
  <c r="B231" i="17"/>
  <c r="H230" i="17"/>
  <c r="G230" i="17"/>
  <c r="F230" i="17"/>
  <c r="E230" i="17"/>
  <c r="C230" i="17"/>
  <c r="B230" i="17"/>
  <c r="H228" i="17"/>
  <c r="G228" i="17"/>
  <c r="F228" i="17"/>
  <c r="E228" i="17"/>
  <c r="C228" i="17"/>
  <c r="B228" i="17"/>
  <c r="H227" i="17"/>
  <c r="G227" i="17"/>
  <c r="F227" i="17"/>
  <c r="E227" i="17"/>
  <c r="C227" i="17"/>
  <c r="B227" i="17"/>
  <c r="H226" i="17"/>
  <c r="G226" i="17"/>
  <c r="F226" i="17"/>
  <c r="E226" i="17"/>
  <c r="C226" i="17"/>
  <c r="B226" i="17"/>
  <c r="H225" i="17"/>
  <c r="G225" i="17"/>
  <c r="F225" i="17"/>
  <c r="E225" i="17"/>
  <c r="C225" i="17"/>
  <c r="B225" i="17"/>
  <c r="P212" i="17"/>
  <c r="O212" i="17"/>
  <c r="N212" i="17"/>
  <c r="M212" i="17"/>
  <c r="K212" i="17"/>
  <c r="J212" i="17"/>
  <c r="H212" i="17"/>
  <c r="G212" i="17"/>
  <c r="F212" i="17"/>
  <c r="E212" i="17"/>
  <c r="C212" i="17"/>
  <c r="B212" i="17"/>
  <c r="P211" i="17"/>
  <c r="O211" i="17"/>
  <c r="N211" i="17"/>
  <c r="M211" i="17"/>
  <c r="K211" i="17"/>
  <c r="J211" i="17"/>
  <c r="H211" i="17"/>
  <c r="G211" i="17"/>
  <c r="F211" i="17"/>
  <c r="E211" i="17"/>
  <c r="C211" i="17"/>
  <c r="B211" i="17"/>
  <c r="P210" i="17"/>
  <c r="O210" i="17"/>
  <c r="N210" i="17"/>
  <c r="M210" i="17"/>
  <c r="K210" i="17"/>
  <c r="J210" i="17"/>
  <c r="H210" i="17"/>
  <c r="G210" i="17"/>
  <c r="F210" i="17"/>
  <c r="E210" i="17"/>
  <c r="C210" i="17"/>
  <c r="B210" i="17"/>
  <c r="P209" i="17"/>
  <c r="O209" i="17"/>
  <c r="N209" i="17"/>
  <c r="M209" i="17"/>
  <c r="K209" i="17"/>
  <c r="J209" i="17"/>
  <c r="H209" i="17"/>
  <c r="G209" i="17"/>
  <c r="F209" i="17"/>
  <c r="E209" i="17"/>
  <c r="C209" i="17"/>
  <c r="B209" i="17"/>
  <c r="P207" i="17"/>
  <c r="O207" i="17"/>
  <c r="N207" i="17"/>
  <c r="M207" i="17"/>
  <c r="K207" i="17"/>
  <c r="J207" i="17"/>
  <c r="H207" i="17"/>
  <c r="G207" i="17"/>
  <c r="F207" i="17"/>
  <c r="E207" i="17"/>
  <c r="C207" i="17"/>
  <c r="B207" i="17"/>
  <c r="P206" i="17"/>
  <c r="O206" i="17"/>
  <c r="N206" i="17"/>
  <c r="M206" i="17"/>
  <c r="K206" i="17"/>
  <c r="J206" i="17"/>
  <c r="H206" i="17"/>
  <c r="G206" i="17"/>
  <c r="F206" i="17"/>
  <c r="E206" i="17"/>
  <c r="C206" i="17"/>
  <c r="B206" i="17"/>
  <c r="P205" i="17"/>
  <c r="O205" i="17"/>
  <c r="N205" i="17"/>
  <c r="M205" i="17"/>
  <c r="K205" i="17"/>
  <c r="J205" i="17"/>
  <c r="H205" i="17"/>
  <c r="G205" i="17"/>
  <c r="F205" i="17"/>
  <c r="E205" i="17"/>
  <c r="C205" i="17"/>
  <c r="B205" i="17"/>
  <c r="P204" i="17"/>
  <c r="O204" i="17"/>
  <c r="N204" i="17"/>
  <c r="M204" i="17"/>
  <c r="K204" i="17"/>
  <c r="J204" i="17"/>
  <c r="H204" i="17"/>
  <c r="G204" i="17"/>
  <c r="F204" i="17"/>
  <c r="E204" i="17"/>
  <c r="C204" i="17"/>
  <c r="B204" i="17"/>
  <c r="P202" i="17"/>
  <c r="O202" i="17"/>
  <c r="N202" i="17"/>
  <c r="M202" i="17"/>
  <c r="K202" i="17"/>
  <c r="J202" i="17"/>
  <c r="H202" i="17"/>
  <c r="G202" i="17"/>
  <c r="F202" i="17"/>
  <c r="E202" i="17"/>
  <c r="C202" i="17"/>
  <c r="B202" i="17"/>
  <c r="P201" i="17"/>
  <c r="O201" i="17"/>
  <c r="N201" i="17"/>
  <c r="M201" i="17"/>
  <c r="K201" i="17"/>
  <c r="J201" i="17"/>
  <c r="H201" i="17"/>
  <c r="G201" i="17"/>
  <c r="F201" i="17"/>
  <c r="E201" i="17"/>
  <c r="C201" i="17"/>
  <c r="B201" i="17"/>
  <c r="P200" i="17"/>
  <c r="O200" i="17"/>
  <c r="N200" i="17"/>
  <c r="M200" i="17"/>
  <c r="K200" i="17"/>
  <c r="J200" i="17"/>
  <c r="H200" i="17"/>
  <c r="G200" i="17"/>
  <c r="F200" i="17"/>
  <c r="E200" i="17"/>
  <c r="C200" i="17"/>
  <c r="B200" i="17"/>
  <c r="P199" i="17"/>
  <c r="O199" i="17"/>
  <c r="N199" i="17"/>
  <c r="M199" i="17"/>
  <c r="K199" i="17"/>
  <c r="J199" i="17"/>
  <c r="H199" i="17"/>
  <c r="G199" i="17"/>
  <c r="F199" i="17"/>
  <c r="E199" i="17"/>
  <c r="C199" i="17"/>
  <c r="B199" i="17"/>
  <c r="P197" i="17"/>
  <c r="O197" i="17"/>
  <c r="N197" i="17"/>
  <c r="M197" i="17"/>
  <c r="K197" i="17"/>
  <c r="J197" i="17"/>
  <c r="H197" i="17"/>
  <c r="G197" i="17"/>
  <c r="F197" i="17"/>
  <c r="E197" i="17"/>
  <c r="C197" i="17"/>
  <c r="B197" i="17"/>
  <c r="P196" i="17"/>
  <c r="O196" i="17"/>
  <c r="N196" i="17"/>
  <c r="M196" i="17"/>
  <c r="K196" i="17"/>
  <c r="J196" i="17"/>
  <c r="H196" i="17"/>
  <c r="G196" i="17"/>
  <c r="F196" i="17"/>
  <c r="E196" i="17"/>
  <c r="C196" i="17"/>
  <c r="B196" i="17"/>
  <c r="P195" i="17"/>
  <c r="O195" i="17"/>
  <c r="N195" i="17"/>
  <c r="M195" i="17"/>
  <c r="K195" i="17"/>
  <c r="J195" i="17"/>
  <c r="H195" i="17"/>
  <c r="G195" i="17"/>
  <c r="F195" i="17"/>
  <c r="E195" i="17"/>
  <c r="C195" i="17"/>
  <c r="B195" i="17"/>
  <c r="P194" i="17"/>
  <c r="O194" i="17"/>
  <c r="N194" i="17"/>
  <c r="M194" i="17"/>
  <c r="K194" i="17"/>
  <c r="J194" i="17"/>
  <c r="H194" i="17"/>
  <c r="G194" i="17"/>
  <c r="F194" i="17"/>
  <c r="E194" i="17"/>
  <c r="C194" i="17"/>
  <c r="B194" i="17"/>
  <c r="P182" i="17"/>
  <c r="O182" i="17"/>
  <c r="N182" i="17"/>
  <c r="M182" i="17"/>
  <c r="K182" i="17"/>
  <c r="J182" i="17"/>
  <c r="H182" i="17"/>
  <c r="G182" i="17"/>
  <c r="F182" i="17"/>
  <c r="E182" i="17"/>
  <c r="C182" i="17"/>
  <c r="B182" i="17"/>
  <c r="P181" i="17"/>
  <c r="O181" i="17"/>
  <c r="N181" i="17"/>
  <c r="M181" i="17"/>
  <c r="K181" i="17"/>
  <c r="J181" i="17"/>
  <c r="H181" i="17"/>
  <c r="G181" i="17"/>
  <c r="F181" i="17"/>
  <c r="E181" i="17"/>
  <c r="C181" i="17"/>
  <c r="B181" i="17"/>
  <c r="P180" i="17"/>
  <c r="O180" i="17"/>
  <c r="N180" i="17"/>
  <c r="M180" i="17"/>
  <c r="K180" i="17"/>
  <c r="J180" i="17"/>
  <c r="H180" i="17"/>
  <c r="G180" i="17"/>
  <c r="F180" i="17"/>
  <c r="E180" i="17"/>
  <c r="C180" i="17"/>
  <c r="B180" i="17"/>
  <c r="P179" i="17"/>
  <c r="O179" i="17"/>
  <c r="N179" i="17"/>
  <c r="M179" i="17"/>
  <c r="K179" i="17"/>
  <c r="J179" i="17"/>
  <c r="H179" i="17"/>
  <c r="G179" i="17"/>
  <c r="F179" i="17"/>
  <c r="E179" i="17"/>
  <c r="C179" i="17"/>
  <c r="B179" i="17"/>
  <c r="P177" i="17"/>
  <c r="O177" i="17"/>
  <c r="N177" i="17"/>
  <c r="M177" i="17"/>
  <c r="K177" i="17"/>
  <c r="J177" i="17"/>
  <c r="H177" i="17"/>
  <c r="G177" i="17"/>
  <c r="F177" i="17"/>
  <c r="E177" i="17"/>
  <c r="C177" i="17"/>
  <c r="B177" i="17"/>
  <c r="P176" i="17"/>
  <c r="O176" i="17"/>
  <c r="N176" i="17"/>
  <c r="M176" i="17"/>
  <c r="K176" i="17"/>
  <c r="J176" i="17"/>
  <c r="H176" i="17"/>
  <c r="G176" i="17"/>
  <c r="F176" i="17"/>
  <c r="E176" i="17"/>
  <c r="C176" i="17"/>
  <c r="B176" i="17"/>
  <c r="P175" i="17"/>
  <c r="O175" i="17"/>
  <c r="N175" i="17"/>
  <c r="M175" i="17"/>
  <c r="K175" i="17"/>
  <c r="J175" i="17"/>
  <c r="H175" i="17"/>
  <c r="G175" i="17"/>
  <c r="F175" i="17"/>
  <c r="E175" i="17"/>
  <c r="C175" i="17"/>
  <c r="B175" i="17"/>
  <c r="P174" i="17"/>
  <c r="O174" i="17"/>
  <c r="N174" i="17"/>
  <c r="M174" i="17"/>
  <c r="K174" i="17"/>
  <c r="J174" i="17"/>
  <c r="H174" i="17"/>
  <c r="G174" i="17"/>
  <c r="F174" i="17"/>
  <c r="E174" i="17"/>
  <c r="C174" i="17"/>
  <c r="B174" i="17"/>
  <c r="P172" i="17"/>
  <c r="O172" i="17"/>
  <c r="N172" i="17"/>
  <c r="M172" i="17"/>
  <c r="K172" i="17"/>
  <c r="J172" i="17"/>
  <c r="H172" i="17"/>
  <c r="G172" i="17"/>
  <c r="F172" i="17"/>
  <c r="E172" i="17"/>
  <c r="C172" i="17"/>
  <c r="B172" i="17"/>
  <c r="P171" i="17"/>
  <c r="O171" i="17"/>
  <c r="N171" i="17"/>
  <c r="M171" i="17"/>
  <c r="K171" i="17"/>
  <c r="J171" i="17"/>
  <c r="H171" i="17"/>
  <c r="G171" i="17"/>
  <c r="F171" i="17"/>
  <c r="E171" i="17"/>
  <c r="C171" i="17"/>
  <c r="B171" i="17"/>
  <c r="P170" i="17"/>
  <c r="O170" i="17"/>
  <c r="N170" i="17"/>
  <c r="M170" i="17"/>
  <c r="K170" i="17"/>
  <c r="J170" i="17"/>
  <c r="H170" i="17"/>
  <c r="G170" i="17"/>
  <c r="F170" i="17"/>
  <c r="E170" i="17"/>
  <c r="C170" i="17"/>
  <c r="B170" i="17"/>
  <c r="P169" i="17"/>
  <c r="O169" i="17"/>
  <c r="N169" i="17"/>
  <c r="M169" i="17"/>
  <c r="K169" i="17"/>
  <c r="J169" i="17"/>
  <c r="H169" i="17"/>
  <c r="G169" i="17"/>
  <c r="F169" i="17"/>
  <c r="E169" i="17"/>
  <c r="C169" i="17"/>
  <c r="B169" i="17"/>
  <c r="P167" i="17"/>
  <c r="O167" i="17"/>
  <c r="N167" i="17"/>
  <c r="M167" i="17"/>
  <c r="K167" i="17"/>
  <c r="J167" i="17"/>
  <c r="F67" i="19" s="1"/>
  <c r="H167" i="17"/>
  <c r="G167" i="17"/>
  <c r="F167" i="17"/>
  <c r="E167" i="17"/>
  <c r="C167" i="17"/>
  <c r="B167" i="17"/>
  <c r="P166" i="17"/>
  <c r="O166" i="17"/>
  <c r="N166" i="17"/>
  <c r="M166" i="17"/>
  <c r="K166" i="17"/>
  <c r="J166" i="17"/>
  <c r="H166" i="17"/>
  <c r="G166" i="17"/>
  <c r="F166" i="17"/>
  <c r="E166" i="17"/>
  <c r="C166" i="17"/>
  <c r="B166" i="17"/>
  <c r="P165" i="17"/>
  <c r="O165" i="17"/>
  <c r="N165" i="17"/>
  <c r="M165" i="17"/>
  <c r="K165" i="17"/>
  <c r="J165" i="17"/>
  <c r="H165" i="17"/>
  <c r="G165" i="17"/>
  <c r="F165" i="17"/>
  <c r="E165" i="17"/>
  <c r="C165" i="17"/>
  <c r="B165" i="17"/>
  <c r="P164" i="17"/>
  <c r="O164" i="17"/>
  <c r="N164" i="17"/>
  <c r="M164" i="17"/>
  <c r="K164" i="17"/>
  <c r="J164" i="17"/>
  <c r="H164" i="17"/>
  <c r="G164" i="17"/>
  <c r="F164" i="17"/>
  <c r="E164" i="17"/>
  <c r="C164" i="17"/>
  <c r="B164" i="17"/>
  <c r="P151" i="17"/>
  <c r="O151" i="17"/>
  <c r="N151" i="17"/>
  <c r="M151" i="17"/>
  <c r="K151" i="17"/>
  <c r="J151" i="17"/>
  <c r="H151" i="17"/>
  <c r="G151" i="17"/>
  <c r="F151" i="17"/>
  <c r="E151" i="17"/>
  <c r="C151" i="17"/>
  <c r="B151" i="17"/>
  <c r="P150" i="17"/>
  <c r="O150" i="17"/>
  <c r="N150" i="17"/>
  <c r="M150" i="17"/>
  <c r="K150" i="17"/>
  <c r="J150" i="17"/>
  <c r="H150" i="17"/>
  <c r="G150" i="17"/>
  <c r="F150" i="17"/>
  <c r="E150" i="17"/>
  <c r="C150" i="17"/>
  <c r="B150" i="17"/>
  <c r="P149" i="17"/>
  <c r="O149" i="17"/>
  <c r="N149" i="17"/>
  <c r="M149" i="17"/>
  <c r="K149" i="17"/>
  <c r="J149" i="17"/>
  <c r="H149" i="17"/>
  <c r="G149" i="17"/>
  <c r="F149" i="17"/>
  <c r="E149" i="17"/>
  <c r="C149" i="17"/>
  <c r="B149" i="17"/>
  <c r="P148" i="17"/>
  <c r="O148" i="17"/>
  <c r="N148" i="17"/>
  <c r="M148" i="17"/>
  <c r="K148" i="17"/>
  <c r="J148" i="17"/>
  <c r="H148" i="17"/>
  <c r="G148" i="17"/>
  <c r="F148" i="17"/>
  <c r="E148" i="17"/>
  <c r="C148" i="17"/>
  <c r="B148" i="17"/>
  <c r="P146" i="17"/>
  <c r="O146" i="17"/>
  <c r="N146" i="17"/>
  <c r="M146" i="17"/>
  <c r="K146" i="17"/>
  <c r="J146" i="17"/>
  <c r="H146" i="17"/>
  <c r="G146" i="17"/>
  <c r="F146" i="17"/>
  <c r="E146" i="17"/>
  <c r="C146" i="17"/>
  <c r="B146" i="17"/>
  <c r="P145" i="17"/>
  <c r="O145" i="17"/>
  <c r="N145" i="17"/>
  <c r="M145" i="17"/>
  <c r="K145" i="17"/>
  <c r="J145" i="17"/>
  <c r="H145" i="17"/>
  <c r="G145" i="17"/>
  <c r="F145" i="17"/>
  <c r="E145" i="17"/>
  <c r="C145" i="17"/>
  <c r="B145" i="17"/>
  <c r="P144" i="17"/>
  <c r="O144" i="17"/>
  <c r="N144" i="17"/>
  <c r="M144" i="17"/>
  <c r="K144" i="17"/>
  <c r="J144" i="17"/>
  <c r="H144" i="17"/>
  <c r="G144" i="17"/>
  <c r="F144" i="17"/>
  <c r="E144" i="17"/>
  <c r="C144" i="17"/>
  <c r="B144" i="17"/>
  <c r="P143" i="17"/>
  <c r="O143" i="17"/>
  <c r="N143" i="17"/>
  <c r="M143" i="17"/>
  <c r="K143" i="17"/>
  <c r="J143" i="17"/>
  <c r="H143" i="17"/>
  <c r="G143" i="17"/>
  <c r="F143" i="17"/>
  <c r="E143" i="17"/>
  <c r="C143" i="17"/>
  <c r="B143" i="17"/>
  <c r="P141" i="17"/>
  <c r="O141" i="17"/>
  <c r="N141" i="17"/>
  <c r="M141" i="17"/>
  <c r="K141" i="17"/>
  <c r="J141" i="17"/>
  <c r="H141" i="17"/>
  <c r="G141" i="17"/>
  <c r="F141" i="17"/>
  <c r="E141" i="17"/>
  <c r="C141" i="17"/>
  <c r="B141" i="17"/>
  <c r="P140" i="17"/>
  <c r="O140" i="17"/>
  <c r="N140" i="17"/>
  <c r="M140" i="17"/>
  <c r="K140" i="17"/>
  <c r="J140" i="17"/>
  <c r="H140" i="17"/>
  <c r="G140" i="17"/>
  <c r="F140" i="17"/>
  <c r="E140" i="17"/>
  <c r="C140" i="17"/>
  <c r="B140" i="17"/>
  <c r="P139" i="17"/>
  <c r="O139" i="17"/>
  <c r="N139" i="17"/>
  <c r="M139" i="17"/>
  <c r="K139" i="17"/>
  <c r="J139" i="17"/>
  <c r="H139" i="17"/>
  <c r="G139" i="17"/>
  <c r="F139" i="17"/>
  <c r="E139" i="17"/>
  <c r="C139" i="17"/>
  <c r="B139" i="17"/>
  <c r="P138" i="17"/>
  <c r="O138" i="17"/>
  <c r="N138" i="17"/>
  <c r="M138" i="17"/>
  <c r="K138" i="17"/>
  <c r="J138" i="17"/>
  <c r="H138" i="17"/>
  <c r="G138" i="17"/>
  <c r="F138" i="17"/>
  <c r="E138" i="17"/>
  <c r="C138" i="17"/>
  <c r="B138" i="17"/>
  <c r="P136" i="17"/>
  <c r="O136" i="17"/>
  <c r="N136" i="17"/>
  <c r="M136" i="17"/>
  <c r="K136" i="17"/>
  <c r="J136" i="17"/>
  <c r="H136" i="17"/>
  <c r="G136" i="17"/>
  <c r="F136" i="17"/>
  <c r="E136" i="17"/>
  <c r="C136" i="17"/>
  <c r="B136" i="17"/>
  <c r="P135" i="17"/>
  <c r="O135" i="17"/>
  <c r="N135" i="17"/>
  <c r="M135" i="17"/>
  <c r="K135" i="17"/>
  <c r="J135" i="17"/>
  <c r="H135" i="17"/>
  <c r="G135" i="17"/>
  <c r="F135" i="17"/>
  <c r="E135" i="17"/>
  <c r="C135" i="17"/>
  <c r="B135" i="17"/>
  <c r="P134" i="17"/>
  <c r="O134" i="17"/>
  <c r="N134" i="17"/>
  <c r="M134" i="17"/>
  <c r="K134" i="17"/>
  <c r="J134" i="17"/>
  <c r="H134" i="17"/>
  <c r="G134" i="17"/>
  <c r="F134" i="17"/>
  <c r="E134" i="17"/>
  <c r="C134" i="17"/>
  <c r="B134" i="17"/>
  <c r="P133" i="17"/>
  <c r="O133" i="17"/>
  <c r="N133" i="17"/>
  <c r="M133" i="17"/>
  <c r="K133" i="17"/>
  <c r="J133" i="17"/>
  <c r="H133" i="17"/>
  <c r="G133" i="17"/>
  <c r="F133" i="17"/>
  <c r="E133" i="17"/>
  <c r="C133" i="17"/>
  <c r="B133" i="17"/>
  <c r="P120" i="17"/>
  <c r="O120" i="17"/>
  <c r="N120" i="17"/>
  <c r="M120" i="17"/>
  <c r="K120" i="17"/>
  <c r="J120" i="17"/>
  <c r="H120" i="17"/>
  <c r="G120" i="17"/>
  <c r="F120" i="17"/>
  <c r="E120" i="17"/>
  <c r="C120" i="17"/>
  <c r="B120" i="17"/>
  <c r="P119" i="17"/>
  <c r="O119" i="17"/>
  <c r="N119" i="17"/>
  <c r="M119" i="17"/>
  <c r="K119" i="17"/>
  <c r="J119" i="17"/>
  <c r="H119" i="17"/>
  <c r="G119" i="17"/>
  <c r="F119" i="17"/>
  <c r="E119" i="17"/>
  <c r="C119" i="17"/>
  <c r="B119" i="17"/>
  <c r="P118" i="17"/>
  <c r="O118" i="17"/>
  <c r="N118" i="17"/>
  <c r="M118" i="17"/>
  <c r="K118" i="17"/>
  <c r="J118" i="17"/>
  <c r="H118" i="17"/>
  <c r="G118" i="17"/>
  <c r="F118" i="17"/>
  <c r="E118" i="17"/>
  <c r="C118" i="17"/>
  <c r="B118" i="17"/>
  <c r="P117" i="17"/>
  <c r="O117" i="17"/>
  <c r="N117" i="17"/>
  <c r="M117" i="17"/>
  <c r="K117" i="17"/>
  <c r="J117" i="17"/>
  <c r="H117" i="17"/>
  <c r="G117" i="17"/>
  <c r="F117" i="17"/>
  <c r="E117" i="17"/>
  <c r="C117" i="17"/>
  <c r="B117" i="17"/>
  <c r="P115" i="17"/>
  <c r="O115" i="17"/>
  <c r="N115" i="17"/>
  <c r="M115" i="17"/>
  <c r="K115" i="17"/>
  <c r="J115" i="17"/>
  <c r="H115" i="17"/>
  <c r="G115" i="17"/>
  <c r="F115" i="17"/>
  <c r="E115" i="17"/>
  <c r="C115" i="17"/>
  <c r="B115" i="17"/>
  <c r="P114" i="17"/>
  <c r="O114" i="17"/>
  <c r="N114" i="17"/>
  <c r="M114" i="17"/>
  <c r="K114" i="17"/>
  <c r="J114" i="17"/>
  <c r="H114" i="17"/>
  <c r="G114" i="17"/>
  <c r="F114" i="17"/>
  <c r="E114" i="17"/>
  <c r="C114" i="17"/>
  <c r="B114" i="17"/>
  <c r="P113" i="17"/>
  <c r="O113" i="17"/>
  <c r="N113" i="17"/>
  <c r="M113" i="17"/>
  <c r="K113" i="17"/>
  <c r="J113" i="17"/>
  <c r="H113" i="17"/>
  <c r="G113" i="17"/>
  <c r="F113" i="17"/>
  <c r="E113" i="17"/>
  <c r="C113" i="17"/>
  <c r="B113" i="17"/>
  <c r="P112" i="17"/>
  <c r="O112" i="17"/>
  <c r="N112" i="17"/>
  <c r="M112" i="17"/>
  <c r="K112" i="17"/>
  <c r="J112" i="17"/>
  <c r="H112" i="17"/>
  <c r="G112" i="17"/>
  <c r="F112" i="17"/>
  <c r="E112" i="17"/>
  <c r="C112" i="17"/>
  <c r="B112" i="17"/>
  <c r="P110" i="17"/>
  <c r="O110" i="17"/>
  <c r="N110" i="17"/>
  <c r="M110" i="17"/>
  <c r="K110" i="17"/>
  <c r="J110" i="17"/>
  <c r="H110" i="17"/>
  <c r="G110" i="17"/>
  <c r="F110" i="17"/>
  <c r="E110" i="17"/>
  <c r="C110" i="17"/>
  <c r="B110" i="17"/>
  <c r="P109" i="17"/>
  <c r="O109" i="17"/>
  <c r="N109" i="17"/>
  <c r="M109" i="17"/>
  <c r="K109" i="17"/>
  <c r="J109" i="17"/>
  <c r="H109" i="17"/>
  <c r="G109" i="17"/>
  <c r="F109" i="17"/>
  <c r="E109" i="17"/>
  <c r="C109" i="17"/>
  <c r="B109" i="17"/>
  <c r="P108" i="17"/>
  <c r="O108" i="17"/>
  <c r="N108" i="17"/>
  <c r="M108" i="17"/>
  <c r="K108" i="17"/>
  <c r="J108" i="17"/>
  <c r="H108" i="17"/>
  <c r="G108" i="17"/>
  <c r="F108" i="17"/>
  <c r="E108" i="17"/>
  <c r="C108" i="17"/>
  <c r="B108" i="17"/>
  <c r="P107" i="17"/>
  <c r="O107" i="17"/>
  <c r="N107" i="17"/>
  <c r="M107" i="17"/>
  <c r="K107" i="17"/>
  <c r="J107" i="17"/>
  <c r="H107" i="17"/>
  <c r="G107" i="17"/>
  <c r="F107" i="17"/>
  <c r="E107" i="17"/>
  <c r="C107" i="17"/>
  <c r="B107" i="17"/>
  <c r="P105" i="17"/>
  <c r="O105" i="17"/>
  <c r="N105" i="17"/>
  <c r="M105" i="17"/>
  <c r="K105" i="17"/>
  <c r="J105" i="17"/>
  <c r="H105" i="17"/>
  <c r="G105" i="17"/>
  <c r="F105" i="17"/>
  <c r="E105" i="17"/>
  <c r="C105" i="17"/>
  <c r="B105" i="17"/>
  <c r="D10" i="19" s="1"/>
  <c r="P104" i="17"/>
  <c r="O104" i="17"/>
  <c r="N104" i="17"/>
  <c r="M104" i="17"/>
  <c r="K104" i="17"/>
  <c r="J104" i="17"/>
  <c r="H104" i="17"/>
  <c r="G104" i="17"/>
  <c r="F104" i="17"/>
  <c r="E104" i="17"/>
  <c r="C104" i="17"/>
  <c r="B104" i="17"/>
  <c r="P103" i="17"/>
  <c r="O103" i="17"/>
  <c r="N103" i="17"/>
  <c r="M103" i="17"/>
  <c r="K103" i="17"/>
  <c r="J103" i="17"/>
  <c r="H103" i="17"/>
  <c r="G103" i="17"/>
  <c r="F103" i="17"/>
  <c r="E103" i="17"/>
  <c r="C103" i="17"/>
  <c r="B103" i="17"/>
  <c r="P102" i="17"/>
  <c r="O102" i="17"/>
  <c r="N102" i="17"/>
  <c r="M102" i="17"/>
  <c r="K102" i="17"/>
  <c r="J102" i="17"/>
  <c r="H102" i="17"/>
  <c r="G102" i="17"/>
  <c r="F102" i="17"/>
  <c r="E102" i="17"/>
  <c r="C102" i="17"/>
  <c r="B102" i="17"/>
  <c r="P90" i="17"/>
  <c r="O90" i="17"/>
  <c r="N90" i="17"/>
  <c r="M90" i="17"/>
  <c r="K90" i="17"/>
  <c r="J90" i="17"/>
  <c r="H90" i="17"/>
  <c r="G90" i="17"/>
  <c r="F90" i="17"/>
  <c r="E90" i="17"/>
  <c r="C90" i="17"/>
  <c r="B90" i="17"/>
  <c r="P89" i="17"/>
  <c r="O89" i="17"/>
  <c r="N89" i="17"/>
  <c r="M89" i="17"/>
  <c r="K89" i="17"/>
  <c r="J89" i="17"/>
  <c r="H89" i="17"/>
  <c r="G89" i="17"/>
  <c r="F89" i="17"/>
  <c r="E89" i="17"/>
  <c r="C89" i="17"/>
  <c r="B89" i="17"/>
  <c r="P88" i="17"/>
  <c r="O88" i="17"/>
  <c r="N88" i="17"/>
  <c r="M88" i="17"/>
  <c r="K88" i="17"/>
  <c r="J88" i="17"/>
  <c r="H88" i="17"/>
  <c r="G88" i="17"/>
  <c r="F88" i="17"/>
  <c r="E88" i="17"/>
  <c r="C88" i="17"/>
  <c r="B88" i="17"/>
  <c r="P87" i="17"/>
  <c r="O87" i="17"/>
  <c r="N87" i="17"/>
  <c r="M87" i="17"/>
  <c r="K87" i="17"/>
  <c r="J87" i="17"/>
  <c r="H87" i="17"/>
  <c r="G87" i="17"/>
  <c r="F87" i="17"/>
  <c r="E87" i="17"/>
  <c r="C87" i="17"/>
  <c r="B87" i="17"/>
  <c r="P85" i="17"/>
  <c r="O85" i="17"/>
  <c r="N85" i="17"/>
  <c r="M85" i="17"/>
  <c r="K85" i="17"/>
  <c r="J85" i="17"/>
  <c r="H85" i="17"/>
  <c r="G85" i="17"/>
  <c r="F85" i="17"/>
  <c r="E85" i="17"/>
  <c r="C85" i="17"/>
  <c r="B85" i="17"/>
  <c r="P84" i="17"/>
  <c r="O84" i="17"/>
  <c r="N84" i="17"/>
  <c r="M84" i="17"/>
  <c r="K84" i="17"/>
  <c r="J84" i="17"/>
  <c r="H84" i="17"/>
  <c r="G84" i="17"/>
  <c r="F84" i="17"/>
  <c r="E84" i="17"/>
  <c r="C84" i="17"/>
  <c r="B84" i="17"/>
  <c r="P83" i="17"/>
  <c r="O83" i="17"/>
  <c r="N83" i="17"/>
  <c r="M83" i="17"/>
  <c r="K83" i="17"/>
  <c r="J83" i="17"/>
  <c r="H83" i="17"/>
  <c r="G83" i="17"/>
  <c r="F83" i="17"/>
  <c r="E83" i="17"/>
  <c r="C83" i="17"/>
  <c r="B83" i="17"/>
  <c r="C18" i="19" s="1"/>
  <c r="P82" i="17"/>
  <c r="O82" i="17"/>
  <c r="N82" i="17"/>
  <c r="M82" i="17"/>
  <c r="K82" i="17"/>
  <c r="J82" i="17"/>
  <c r="H82" i="17"/>
  <c r="G82" i="17"/>
  <c r="F82" i="17"/>
  <c r="E82" i="17"/>
  <c r="C82" i="17"/>
  <c r="B82" i="17"/>
  <c r="P80" i="17"/>
  <c r="O80" i="17"/>
  <c r="N80" i="17"/>
  <c r="M80" i="17"/>
  <c r="K80" i="17"/>
  <c r="J80" i="17"/>
  <c r="H80" i="17"/>
  <c r="G80" i="17"/>
  <c r="F80" i="17"/>
  <c r="E80" i="17"/>
  <c r="C80" i="17"/>
  <c r="B80" i="17"/>
  <c r="C15" i="19" s="1"/>
  <c r="P79" i="17"/>
  <c r="O79" i="17"/>
  <c r="N79" i="17"/>
  <c r="M79" i="17"/>
  <c r="K79" i="17"/>
  <c r="J79" i="17"/>
  <c r="H79" i="17"/>
  <c r="G79" i="17"/>
  <c r="F79" i="17"/>
  <c r="E79" i="17"/>
  <c r="C79" i="17"/>
  <c r="B79" i="17"/>
  <c r="P78" i="17"/>
  <c r="O78" i="17"/>
  <c r="N78" i="17"/>
  <c r="M78" i="17"/>
  <c r="K78" i="17"/>
  <c r="J78" i="17"/>
  <c r="H78" i="17"/>
  <c r="G78" i="17"/>
  <c r="F78" i="17"/>
  <c r="E78" i="17"/>
  <c r="C78" i="17"/>
  <c r="B78" i="17"/>
  <c r="C13" i="19" s="1"/>
  <c r="P77" i="17"/>
  <c r="O77" i="17"/>
  <c r="N77" i="17"/>
  <c r="M77" i="17"/>
  <c r="K77" i="17"/>
  <c r="J77" i="17"/>
  <c r="H77" i="17"/>
  <c r="G77" i="17"/>
  <c r="F77" i="17"/>
  <c r="E77" i="17"/>
  <c r="C77" i="17"/>
  <c r="B77" i="17"/>
  <c r="P75" i="17"/>
  <c r="O75" i="17"/>
  <c r="N75" i="17"/>
  <c r="M75" i="17"/>
  <c r="K75" i="17"/>
  <c r="J75" i="17"/>
  <c r="H75" i="17"/>
  <c r="G75" i="17"/>
  <c r="F75" i="17"/>
  <c r="E75" i="17"/>
  <c r="C75" i="17"/>
  <c r="B75" i="17"/>
  <c r="C10" i="19" s="1"/>
  <c r="P74" i="17"/>
  <c r="O74" i="17"/>
  <c r="N74" i="17"/>
  <c r="M74" i="17"/>
  <c r="K74" i="17"/>
  <c r="J74" i="17"/>
  <c r="H74" i="17"/>
  <c r="G74" i="17"/>
  <c r="F74" i="17"/>
  <c r="E74" i="17"/>
  <c r="C74" i="17"/>
  <c r="B74" i="17"/>
  <c r="P73" i="17"/>
  <c r="O73" i="17"/>
  <c r="N73" i="17"/>
  <c r="M73" i="17"/>
  <c r="K73" i="17"/>
  <c r="J73" i="17"/>
  <c r="H73" i="17"/>
  <c r="G73" i="17"/>
  <c r="F73" i="17"/>
  <c r="E73" i="17"/>
  <c r="C73" i="17"/>
  <c r="B73" i="17"/>
  <c r="C8" i="19" s="1"/>
  <c r="P72" i="17"/>
  <c r="O72" i="17"/>
  <c r="N72" i="17"/>
  <c r="M72" i="17"/>
  <c r="K72" i="17"/>
  <c r="J72" i="17"/>
  <c r="H72" i="17"/>
  <c r="G72" i="17"/>
  <c r="F72" i="17"/>
  <c r="E72" i="17"/>
  <c r="C72" i="17"/>
  <c r="B72" i="17"/>
  <c r="P59" i="17"/>
  <c r="O59" i="17"/>
  <c r="N59" i="17"/>
  <c r="M59" i="17"/>
  <c r="K59" i="17"/>
  <c r="J59" i="17"/>
  <c r="H59" i="17"/>
  <c r="G59" i="17"/>
  <c r="F59" i="17"/>
  <c r="E59" i="17"/>
  <c r="C59" i="17"/>
  <c r="B59" i="17"/>
  <c r="B25" i="19" s="1"/>
  <c r="P58" i="17"/>
  <c r="O58" i="17"/>
  <c r="N58" i="17"/>
  <c r="M58" i="17"/>
  <c r="K58" i="17"/>
  <c r="J58" i="17"/>
  <c r="H58" i="17"/>
  <c r="G58" i="17"/>
  <c r="F58" i="17"/>
  <c r="E58" i="17"/>
  <c r="C58" i="17"/>
  <c r="B58" i="17"/>
  <c r="P57" i="17"/>
  <c r="O57" i="17"/>
  <c r="N57" i="17"/>
  <c r="M57" i="17"/>
  <c r="K57" i="17"/>
  <c r="J57" i="17"/>
  <c r="H57" i="17"/>
  <c r="G57" i="17"/>
  <c r="F57" i="17"/>
  <c r="E57" i="17"/>
  <c r="C57" i="17"/>
  <c r="B57" i="17"/>
  <c r="B23" i="19" s="1"/>
  <c r="P56" i="17"/>
  <c r="O56" i="17"/>
  <c r="N56" i="17"/>
  <c r="M56" i="17"/>
  <c r="K56" i="17"/>
  <c r="J56" i="17"/>
  <c r="H56" i="17"/>
  <c r="G56" i="17"/>
  <c r="F56" i="17"/>
  <c r="E56" i="17"/>
  <c r="C56" i="17"/>
  <c r="B56" i="17"/>
  <c r="P54" i="17"/>
  <c r="O54" i="17"/>
  <c r="N54" i="17"/>
  <c r="M54" i="17"/>
  <c r="K54" i="17"/>
  <c r="J54" i="17"/>
  <c r="H54" i="17"/>
  <c r="G54" i="17"/>
  <c r="F54" i="17"/>
  <c r="E54" i="17"/>
  <c r="C54" i="17"/>
  <c r="B54" i="17"/>
  <c r="B20" i="19" s="1"/>
  <c r="P53" i="17"/>
  <c r="O53" i="17"/>
  <c r="N53" i="17"/>
  <c r="M53" i="17"/>
  <c r="K53" i="17"/>
  <c r="J53" i="17"/>
  <c r="H53" i="17"/>
  <c r="G53" i="17"/>
  <c r="F53" i="17"/>
  <c r="E53" i="17"/>
  <c r="C53" i="17"/>
  <c r="B53" i="17"/>
  <c r="P52" i="17"/>
  <c r="O52" i="17"/>
  <c r="N52" i="17"/>
  <c r="M52" i="17"/>
  <c r="K52" i="17"/>
  <c r="J52" i="17"/>
  <c r="H52" i="17"/>
  <c r="G52" i="17"/>
  <c r="F52" i="17"/>
  <c r="E52" i="17"/>
  <c r="C52" i="17"/>
  <c r="B52" i="17"/>
  <c r="B18" i="19" s="1"/>
  <c r="P51" i="17"/>
  <c r="O51" i="17"/>
  <c r="N51" i="17"/>
  <c r="M51" i="17"/>
  <c r="K51" i="17"/>
  <c r="J51" i="17"/>
  <c r="H51" i="17"/>
  <c r="G51" i="17"/>
  <c r="F51" i="17"/>
  <c r="E51" i="17"/>
  <c r="C51" i="17"/>
  <c r="B51" i="17"/>
  <c r="P49" i="17"/>
  <c r="O49" i="17"/>
  <c r="N49" i="17"/>
  <c r="M49" i="17"/>
  <c r="K49" i="17"/>
  <c r="J49" i="17"/>
  <c r="H49" i="17"/>
  <c r="G49" i="17"/>
  <c r="F49" i="17"/>
  <c r="E49" i="17"/>
  <c r="C49" i="17"/>
  <c r="B49" i="17"/>
  <c r="P48" i="17"/>
  <c r="O48" i="17"/>
  <c r="N48" i="17"/>
  <c r="M48" i="17"/>
  <c r="K48" i="17"/>
  <c r="J48" i="17"/>
  <c r="H48" i="17"/>
  <c r="G48" i="17"/>
  <c r="F48" i="17"/>
  <c r="E48" i="17"/>
  <c r="C48" i="17"/>
  <c r="B48" i="17"/>
  <c r="P47" i="17"/>
  <c r="O47" i="17"/>
  <c r="N47" i="17"/>
  <c r="M47" i="17"/>
  <c r="K47" i="17"/>
  <c r="J47" i="17"/>
  <c r="H47" i="17"/>
  <c r="G47" i="17"/>
  <c r="F47" i="17"/>
  <c r="E47" i="17"/>
  <c r="C47" i="17"/>
  <c r="B47" i="17"/>
  <c r="P46" i="17"/>
  <c r="O46" i="17"/>
  <c r="N46" i="17"/>
  <c r="M46" i="17"/>
  <c r="K46" i="17"/>
  <c r="J46" i="17"/>
  <c r="H46" i="17"/>
  <c r="G46" i="17"/>
  <c r="F46" i="17"/>
  <c r="E46" i="17"/>
  <c r="C46" i="17"/>
  <c r="B46" i="17"/>
  <c r="P44" i="17"/>
  <c r="O44" i="17"/>
  <c r="N44" i="17"/>
  <c r="M44" i="17"/>
  <c r="K44" i="17"/>
  <c r="J44" i="17"/>
  <c r="H44" i="17"/>
  <c r="G44" i="17"/>
  <c r="F44" i="17"/>
  <c r="E44" i="17"/>
  <c r="C44" i="17"/>
  <c r="B44" i="17"/>
  <c r="P43" i="17"/>
  <c r="O43" i="17"/>
  <c r="N43" i="17"/>
  <c r="M43" i="17"/>
  <c r="K43" i="17"/>
  <c r="J43" i="17"/>
  <c r="H43" i="17"/>
  <c r="G43" i="17"/>
  <c r="F43" i="17"/>
  <c r="E43" i="17"/>
  <c r="C43" i="17"/>
  <c r="B43" i="17"/>
  <c r="P42" i="17"/>
  <c r="O42" i="17"/>
  <c r="N42" i="17"/>
  <c r="M42" i="17"/>
  <c r="K42" i="17"/>
  <c r="J42" i="17"/>
  <c r="H42" i="17"/>
  <c r="G42" i="17"/>
  <c r="F42" i="17"/>
  <c r="E42" i="17"/>
  <c r="C42" i="17"/>
  <c r="B42" i="17"/>
  <c r="P41" i="17"/>
  <c r="O41" i="17"/>
  <c r="N41" i="17"/>
  <c r="M41" i="17"/>
  <c r="K41" i="17"/>
  <c r="J41" i="17"/>
  <c r="H41" i="17"/>
  <c r="G41" i="17"/>
  <c r="F41" i="17"/>
  <c r="E41" i="17"/>
  <c r="C41" i="17"/>
  <c r="B41" i="17"/>
  <c r="P27" i="17"/>
  <c r="O27" i="17"/>
  <c r="N27" i="17"/>
  <c r="M27" i="17"/>
  <c r="K27" i="17"/>
  <c r="J27" i="17"/>
  <c r="H27" i="17"/>
  <c r="G27" i="17"/>
  <c r="F27" i="17"/>
  <c r="E27" i="17"/>
  <c r="C27" i="17"/>
  <c r="B27" i="17"/>
  <c r="P26" i="17"/>
  <c r="O26" i="17"/>
  <c r="N26" i="17"/>
  <c r="M26" i="17"/>
  <c r="K26" i="17"/>
  <c r="J26" i="17"/>
  <c r="H26" i="17"/>
  <c r="G26" i="17"/>
  <c r="F26" i="17"/>
  <c r="E26" i="17"/>
  <c r="C26" i="17"/>
  <c r="B26" i="17"/>
  <c r="P25" i="17"/>
  <c r="O25" i="17"/>
  <c r="N25" i="17"/>
  <c r="M25" i="17"/>
  <c r="K25" i="17"/>
  <c r="J25" i="17"/>
  <c r="H25" i="17"/>
  <c r="G25" i="17"/>
  <c r="F25" i="17"/>
  <c r="E25" i="17"/>
  <c r="C25" i="17"/>
  <c r="B25" i="17"/>
  <c r="P24" i="17"/>
  <c r="O24" i="17"/>
  <c r="N24" i="17"/>
  <c r="M24" i="17"/>
  <c r="K24" i="17"/>
  <c r="J24" i="17"/>
  <c r="H24" i="17"/>
  <c r="G24" i="17"/>
  <c r="F24" i="17"/>
  <c r="E24" i="17"/>
  <c r="C24" i="17"/>
  <c r="B24" i="17"/>
  <c r="P22" i="17"/>
  <c r="O22" i="17"/>
  <c r="N22" i="17"/>
  <c r="M22" i="17"/>
  <c r="K22" i="17"/>
  <c r="J22" i="17"/>
  <c r="H22" i="17"/>
  <c r="G22" i="17"/>
  <c r="F22" i="17"/>
  <c r="E22" i="17"/>
  <c r="C22" i="17"/>
  <c r="B22" i="17"/>
  <c r="P21" i="17"/>
  <c r="O21" i="17"/>
  <c r="N21" i="17"/>
  <c r="M21" i="17"/>
  <c r="K21" i="17"/>
  <c r="J21" i="17"/>
  <c r="H21" i="17"/>
  <c r="G21" i="17"/>
  <c r="F21" i="17"/>
  <c r="E21" i="17"/>
  <c r="C21" i="17"/>
  <c r="B21" i="17"/>
  <c r="P20" i="17"/>
  <c r="O20" i="17"/>
  <c r="N20" i="17"/>
  <c r="M20" i="17"/>
  <c r="K20" i="17"/>
  <c r="J20" i="17"/>
  <c r="H20" i="17"/>
  <c r="G20" i="17"/>
  <c r="F20" i="17"/>
  <c r="E20" i="17"/>
  <c r="C20" i="17"/>
  <c r="B20" i="17"/>
  <c r="P19" i="17"/>
  <c r="O19" i="17"/>
  <c r="N19" i="17"/>
  <c r="M19" i="17"/>
  <c r="K19" i="17"/>
  <c r="J19" i="17"/>
  <c r="H19" i="17"/>
  <c r="G19" i="17"/>
  <c r="F19" i="17"/>
  <c r="E19" i="17"/>
  <c r="C19" i="17"/>
  <c r="B19" i="17"/>
  <c r="P17" i="17"/>
  <c r="O17" i="17"/>
  <c r="N17" i="17"/>
  <c r="M17" i="17"/>
  <c r="K17" i="17"/>
  <c r="J17" i="17"/>
  <c r="H17" i="17"/>
  <c r="G17" i="17"/>
  <c r="F17" i="17"/>
  <c r="E17" i="17"/>
  <c r="C17" i="17"/>
  <c r="B17" i="17"/>
  <c r="P16" i="17"/>
  <c r="O16" i="17"/>
  <c r="N16" i="17"/>
  <c r="M16" i="17"/>
  <c r="K16" i="17"/>
  <c r="J16" i="17"/>
  <c r="H16" i="17"/>
  <c r="G16" i="17"/>
  <c r="F16" i="17"/>
  <c r="E16" i="17"/>
  <c r="C16" i="17"/>
  <c r="B16" i="17"/>
  <c r="P15" i="17"/>
  <c r="O15" i="17"/>
  <c r="N15" i="17"/>
  <c r="M15" i="17"/>
  <c r="K15" i="17"/>
  <c r="J15" i="17"/>
  <c r="H70" i="19" s="1"/>
  <c r="H15" i="17"/>
  <c r="G15" i="17"/>
  <c r="F15" i="17"/>
  <c r="E15" i="17"/>
  <c r="C15" i="17"/>
  <c r="B15" i="17"/>
  <c r="P14" i="17"/>
  <c r="O14" i="17"/>
  <c r="N14" i="17"/>
  <c r="M14" i="17"/>
  <c r="K14" i="17"/>
  <c r="J14" i="17"/>
  <c r="H14" i="17"/>
  <c r="G14" i="17"/>
  <c r="F14" i="17"/>
  <c r="E14" i="17"/>
  <c r="C14" i="17"/>
  <c r="B14" i="17"/>
  <c r="P12" i="17"/>
  <c r="O12" i="17"/>
  <c r="N12" i="17"/>
  <c r="M12" i="17"/>
  <c r="K12" i="17"/>
  <c r="J12" i="17"/>
  <c r="H12" i="17"/>
  <c r="G12" i="17"/>
  <c r="F12" i="17"/>
  <c r="E12" i="17"/>
  <c r="C12" i="17"/>
  <c r="B12" i="17"/>
  <c r="P11" i="17"/>
  <c r="O11" i="17"/>
  <c r="N11" i="17"/>
  <c r="M11" i="17"/>
  <c r="K11" i="17"/>
  <c r="J11" i="17"/>
  <c r="H11" i="17"/>
  <c r="G11" i="17"/>
  <c r="F11" i="17"/>
  <c r="E11" i="17"/>
  <c r="C11" i="17"/>
  <c r="B11" i="17"/>
  <c r="P10" i="17"/>
  <c r="O10" i="17"/>
  <c r="N10" i="17"/>
  <c r="M10" i="17"/>
  <c r="K10" i="17"/>
  <c r="J10" i="17"/>
  <c r="H10" i="17"/>
  <c r="G10" i="17"/>
  <c r="F10" i="17"/>
  <c r="E10" i="17"/>
  <c r="C10" i="17"/>
  <c r="B10" i="17"/>
  <c r="P9" i="17"/>
  <c r="O9" i="17"/>
  <c r="N9" i="17"/>
  <c r="M9" i="17"/>
  <c r="K9" i="17"/>
  <c r="J9" i="17"/>
  <c r="H9" i="17"/>
  <c r="G9" i="17"/>
  <c r="F9" i="17"/>
  <c r="E9" i="17"/>
  <c r="C9" i="17"/>
  <c r="B9" i="17"/>
  <c r="Q454" i="17"/>
  <c r="Q449" i="17"/>
  <c r="Q444" i="17"/>
  <c r="Q439" i="17"/>
  <c r="Q438" i="17"/>
  <c r="Q437" i="17"/>
  <c r="Q436" i="17"/>
  <c r="Q435" i="17"/>
  <c r="Q434" i="17"/>
  <c r="Q433" i="17"/>
  <c r="Q432" i="17"/>
  <c r="Q431" i="17"/>
  <c r="Q430" i="17"/>
  <c r="Q429" i="17"/>
  <c r="Q424" i="17"/>
  <c r="Q419" i="17"/>
  <c r="Q414" i="17"/>
  <c r="Q409" i="17"/>
  <c r="Q408" i="17"/>
  <c r="Q407" i="17"/>
  <c r="Q406" i="17"/>
  <c r="Q405" i="17"/>
  <c r="Q404" i="17"/>
  <c r="Q403" i="17"/>
  <c r="Q402" i="17"/>
  <c r="Q401" i="17"/>
  <c r="Q400" i="17"/>
  <c r="Q399" i="17"/>
  <c r="Q394" i="17"/>
  <c r="Q389" i="17"/>
  <c r="Q384" i="17"/>
  <c r="Q379" i="17"/>
  <c r="Q378" i="17"/>
  <c r="Q377" i="17"/>
  <c r="Q376" i="17"/>
  <c r="Q375" i="17"/>
  <c r="Q374" i="17"/>
  <c r="Q373" i="17"/>
  <c r="Q372" i="17"/>
  <c r="Q371" i="17"/>
  <c r="Q370" i="17"/>
  <c r="Q369" i="17"/>
  <c r="Q368" i="17"/>
  <c r="Q363" i="17"/>
  <c r="D362" i="17"/>
  <c r="L47" i="19" s="1"/>
  <c r="Q358" i="17"/>
  <c r="Q353" i="17"/>
  <c r="Q348" i="17"/>
  <c r="Q347" i="17"/>
  <c r="Q346" i="17"/>
  <c r="Q345" i="17"/>
  <c r="Q344" i="17"/>
  <c r="Q343" i="17"/>
  <c r="Q342" i="17"/>
  <c r="Q341" i="17"/>
  <c r="Q340" i="17"/>
  <c r="Q338" i="17"/>
  <c r="Q337" i="17"/>
  <c r="Q332" i="17"/>
  <c r="D331" i="17"/>
  <c r="K47" i="19" s="1"/>
  <c r="Q327" i="17"/>
  <c r="Q322" i="17"/>
  <c r="Q317" i="17"/>
  <c r="Q316" i="17"/>
  <c r="Q315" i="17"/>
  <c r="Q314" i="17"/>
  <c r="Q313" i="17"/>
  <c r="Q312" i="17"/>
  <c r="Q311" i="17"/>
  <c r="Q310" i="17"/>
  <c r="Q309" i="17"/>
  <c r="Q308" i="17"/>
  <c r="Q307" i="17"/>
  <c r="Q306" i="17"/>
  <c r="Q301" i="17"/>
  <c r="Q296" i="17"/>
  <c r="Q291" i="17"/>
  <c r="Q286" i="17"/>
  <c r="Q285" i="17"/>
  <c r="Q284" i="17"/>
  <c r="Q283" i="17"/>
  <c r="Q282" i="17"/>
  <c r="Q281" i="17"/>
  <c r="Q280" i="17"/>
  <c r="Q279" i="17"/>
  <c r="Q278" i="17"/>
  <c r="Q277" i="17"/>
  <c r="Q276" i="17"/>
  <c r="Q275" i="17"/>
  <c r="Q270" i="17"/>
  <c r="Q265" i="17"/>
  <c r="Q260" i="17"/>
  <c r="Q255" i="17"/>
  <c r="Q254" i="17"/>
  <c r="Q253" i="17"/>
  <c r="Q252" i="17"/>
  <c r="Q251" i="17"/>
  <c r="Q250" i="17"/>
  <c r="Q249" i="17"/>
  <c r="Q248" i="17"/>
  <c r="Q247" i="17"/>
  <c r="Q246" i="17"/>
  <c r="Q245" i="17"/>
  <c r="Q244" i="17"/>
  <c r="Q239" i="17"/>
  <c r="Q234" i="17"/>
  <c r="Q229" i="17"/>
  <c r="Q224" i="17"/>
  <c r="Q223" i="17"/>
  <c r="Q222" i="17"/>
  <c r="Q221" i="17"/>
  <c r="Q220" i="17"/>
  <c r="Q219" i="17"/>
  <c r="Q218" i="17"/>
  <c r="Q217" i="17"/>
  <c r="R216" i="17"/>
  <c r="Q216" i="17"/>
  <c r="R214" i="17"/>
  <c r="Q214" i="17"/>
  <c r="R213" i="17"/>
  <c r="Q213" i="17"/>
  <c r="R208" i="17"/>
  <c r="Q208" i="17"/>
  <c r="L205" i="17"/>
  <c r="G103" i="19" s="1"/>
  <c r="R203" i="17"/>
  <c r="Q203" i="17"/>
  <c r="R198" i="17"/>
  <c r="Q198" i="17"/>
  <c r="R178" i="17"/>
  <c r="Q178" i="17"/>
  <c r="R173" i="17"/>
  <c r="Q173" i="17"/>
  <c r="R168" i="17"/>
  <c r="Q168" i="17"/>
  <c r="R147" i="17"/>
  <c r="Q147" i="17"/>
  <c r="R142" i="17"/>
  <c r="Q142" i="17"/>
  <c r="L141" i="17"/>
  <c r="E100" i="19" s="1"/>
  <c r="R137" i="17"/>
  <c r="Q137" i="17"/>
  <c r="R116" i="17"/>
  <c r="Q116" i="17"/>
  <c r="R111" i="17"/>
  <c r="Q111" i="17"/>
  <c r="R106" i="17"/>
  <c r="Q106" i="17"/>
  <c r="R86" i="17"/>
  <c r="Q86" i="17"/>
  <c r="R81" i="17"/>
  <c r="Q81" i="17"/>
  <c r="R76" i="17"/>
  <c r="Q76" i="17"/>
  <c r="R55" i="17"/>
  <c r="Q55" i="17"/>
  <c r="R50" i="17"/>
  <c r="Q50" i="17"/>
  <c r="R45" i="17"/>
  <c r="Q45" i="17"/>
  <c r="R23" i="17"/>
  <c r="Q23" i="17"/>
  <c r="R18" i="17"/>
  <c r="Q18" i="17"/>
  <c r="R13" i="17"/>
  <c r="Q13" i="17"/>
  <c r="D15" i="19" l="1"/>
  <c r="D18" i="19"/>
  <c r="E8" i="19"/>
  <c r="E13" i="19"/>
  <c r="E18" i="19"/>
  <c r="E20" i="19"/>
  <c r="E23" i="19"/>
  <c r="F10" i="19"/>
  <c r="H64" i="19"/>
  <c r="H66" i="19"/>
  <c r="H69" i="19"/>
  <c r="H71" i="19"/>
  <c r="H74" i="19"/>
  <c r="H76" i="19"/>
  <c r="H79" i="19"/>
  <c r="H81" i="19"/>
  <c r="B64" i="19"/>
  <c r="B66" i="19"/>
  <c r="B69" i="19"/>
  <c r="B71" i="19"/>
  <c r="B74" i="19"/>
  <c r="B76" i="19"/>
  <c r="B79" i="19"/>
  <c r="B81" i="19"/>
  <c r="C64" i="19"/>
  <c r="C66" i="19"/>
  <c r="C69" i="19"/>
  <c r="C71" i="19"/>
  <c r="C74" i="19"/>
  <c r="C76" i="19"/>
  <c r="C79" i="19"/>
  <c r="C81" i="19"/>
  <c r="D64" i="19"/>
  <c r="D66" i="19"/>
  <c r="D69" i="19"/>
  <c r="D71" i="19"/>
  <c r="D74" i="19"/>
  <c r="D76" i="19"/>
  <c r="D79" i="19"/>
  <c r="D81" i="19"/>
  <c r="E64" i="19"/>
  <c r="E66" i="19"/>
  <c r="E69" i="19"/>
  <c r="E71" i="19"/>
  <c r="E74" i="19"/>
  <c r="E76" i="19"/>
  <c r="E79" i="19"/>
  <c r="E81" i="19"/>
  <c r="F64" i="19"/>
  <c r="F66" i="19"/>
  <c r="F69" i="19"/>
  <c r="F71" i="19"/>
  <c r="F74" i="19"/>
  <c r="F76" i="19"/>
  <c r="F79" i="19"/>
  <c r="F81" i="19"/>
  <c r="G64" i="19"/>
  <c r="G66" i="19"/>
  <c r="G69" i="19"/>
  <c r="G71" i="19"/>
  <c r="G74" i="19"/>
  <c r="G76" i="19"/>
  <c r="G79" i="19"/>
  <c r="G81" i="19"/>
  <c r="M8" i="19"/>
  <c r="M13" i="19"/>
  <c r="M18" i="19"/>
  <c r="M23" i="19"/>
  <c r="I8" i="19"/>
  <c r="I13" i="19"/>
  <c r="I18" i="19"/>
  <c r="I23" i="19"/>
  <c r="J8" i="19"/>
  <c r="J13" i="19"/>
  <c r="J18" i="19"/>
  <c r="J23" i="19"/>
  <c r="K8" i="19"/>
  <c r="K13" i="19"/>
  <c r="K18" i="19"/>
  <c r="K23" i="19"/>
  <c r="L8" i="19"/>
  <c r="D66" i="20"/>
  <c r="G71" i="20"/>
  <c r="D78" i="17"/>
  <c r="C40" i="19" s="1"/>
  <c r="L11" i="18"/>
  <c r="L14" i="18"/>
  <c r="H99" i="20" s="1"/>
  <c r="L16" i="18"/>
  <c r="H101" i="20" s="1"/>
  <c r="L21" i="18"/>
  <c r="H106" i="20" s="1"/>
  <c r="L24" i="18"/>
  <c r="H109" i="20" s="1"/>
  <c r="L26" i="18"/>
  <c r="H111" i="20" s="1"/>
  <c r="L41" i="18"/>
  <c r="L43" i="18"/>
  <c r="L46" i="18"/>
  <c r="L48" i="18"/>
  <c r="B101" i="20" s="1"/>
  <c r="L51" i="18"/>
  <c r="L53" i="18"/>
  <c r="B106" i="20" s="1"/>
  <c r="L56" i="18"/>
  <c r="B109" i="20" s="1"/>
  <c r="L58" i="18"/>
  <c r="B111" i="20" s="1"/>
  <c r="L72" i="18"/>
  <c r="C94" i="20" s="1"/>
  <c r="L74" i="18"/>
  <c r="C96" i="20" s="1"/>
  <c r="L77" i="18"/>
  <c r="C99" i="20" s="1"/>
  <c r="L79" i="18"/>
  <c r="L82" i="18"/>
  <c r="R82" i="18" s="1"/>
  <c r="L84" i="18"/>
  <c r="C106" i="20" s="1"/>
  <c r="L87" i="18"/>
  <c r="R87" i="18" s="1"/>
  <c r="L102" i="18"/>
  <c r="L104" i="18"/>
  <c r="D96" i="20" s="1"/>
  <c r="L107" i="18"/>
  <c r="L112" i="18"/>
  <c r="D104" i="20" s="1"/>
  <c r="L114" i="18"/>
  <c r="L117" i="18"/>
  <c r="R117" i="18" s="1"/>
  <c r="L119" i="18"/>
  <c r="D111" i="20" s="1"/>
  <c r="L133" i="18"/>
  <c r="R133" i="18" s="1"/>
  <c r="L135" i="18"/>
  <c r="E96" i="20" s="1"/>
  <c r="L138" i="18"/>
  <c r="L140" i="18"/>
  <c r="E101" i="20" s="1"/>
  <c r="L143" i="18"/>
  <c r="L148" i="18"/>
  <c r="E109" i="20" s="1"/>
  <c r="L150" i="18"/>
  <c r="R150" i="18" s="1"/>
  <c r="H82" i="19"/>
  <c r="B75" i="19"/>
  <c r="M10" i="19"/>
  <c r="I15" i="19"/>
  <c r="D302" i="17"/>
  <c r="J49" i="19" s="1"/>
  <c r="L25" i="19"/>
  <c r="L57" i="17"/>
  <c r="B108" i="19" s="1"/>
  <c r="L59" i="17"/>
  <c r="B110" i="19" s="1"/>
  <c r="L85" i="17"/>
  <c r="C105" i="19" s="1"/>
  <c r="L105" i="17"/>
  <c r="D95" i="19" s="1"/>
  <c r="L110" i="17"/>
  <c r="D100" i="19" s="1"/>
  <c r="L134" i="17"/>
  <c r="E93" i="19" s="1"/>
  <c r="L136" i="17"/>
  <c r="E95" i="19" s="1"/>
  <c r="L146" i="17"/>
  <c r="E105" i="19" s="1"/>
  <c r="L151" i="17"/>
  <c r="R151" i="17" s="1"/>
  <c r="F23" i="19"/>
  <c r="L180" i="17"/>
  <c r="F108" i="19" s="1"/>
  <c r="L195" i="17"/>
  <c r="G93" i="19" s="1"/>
  <c r="L197" i="17"/>
  <c r="G95" i="19" s="1"/>
  <c r="G13" i="19"/>
  <c r="L202" i="17"/>
  <c r="G18" i="19"/>
  <c r="M19" i="19"/>
  <c r="D238" i="17"/>
  <c r="M47" i="19" s="1"/>
  <c r="D243" i="17"/>
  <c r="Q243" i="17" s="1"/>
  <c r="J14" i="19"/>
  <c r="D295" i="17"/>
  <c r="J42" i="19" s="1"/>
  <c r="D305" i="17"/>
  <c r="J52" i="19" s="1"/>
  <c r="K9" i="19"/>
  <c r="K19" i="19"/>
  <c r="D352" i="17"/>
  <c r="L37" i="19" s="1"/>
  <c r="L19" i="19"/>
  <c r="D383" i="17"/>
  <c r="P37" i="19" s="1"/>
  <c r="S38" i="20" s="1"/>
  <c r="P14" i="19"/>
  <c r="D393" i="17"/>
  <c r="P47" i="19" s="1"/>
  <c r="P24" i="19"/>
  <c r="N14" i="19"/>
  <c r="D418" i="17"/>
  <c r="N42" i="19" s="1"/>
  <c r="N19" i="19"/>
  <c r="D423" i="17"/>
  <c r="N47" i="19" s="1"/>
  <c r="O9" i="19"/>
  <c r="O24" i="19"/>
  <c r="P8" i="19"/>
  <c r="P13" i="19"/>
  <c r="N8" i="19"/>
  <c r="N18" i="19"/>
  <c r="O13" i="19"/>
  <c r="O18" i="19"/>
  <c r="B10" i="20"/>
  <c r="J24" i="20"/>
  <c r="D453" i="18"/>
  <c r="F7" i="20"/>
  <c r="L164" i="18"/>
  <c r="F9" i="20"/>
  <c r="L166" i="18"/>
  <c r="L169" i="18"/>
  <c r="F99" i="20" s="1"/>
  <c r="F14" i="20"/>
  <c r="L171" i="18"/>
  <c r="R171" i="18" s="1"/>
  <c r="F17" i="20"/>
  <c r="L174" i="18"/>
  <c r="F19" i="20"/>
  <c r="L176" i="18"/>
  <c r="F106" i="20" s="1"/>
  <c r="F22" i="20"/>
  <c r="L179" i="18"/>
  <c r="F109" i="20" s="1"/>
  <c r="L181" i="18"/>
  <c r="R181" i="18" s="1"/>
  <c r="G7" i="20"/>
  <c r="L194" i="18"/>
  <c r="G94" i="20" s="1"/>
  <c r="G9" i="20"/>
  <c r="L196" i="18"/>
  <c r="G96" i="20" s="1"/>
  <c r="L199" i="18"/>
  <c r="G99" i="20" s="1"/>
  <c r="G14" i="20"/>
  <c r="L201" i="18"/>
  <c r="G101" i="20" s="1"/>
  <c r="G17" i="20"/>
  <c r="L204" i="18"/>
  <c r="G104" i="20" s="1"/>
  <c r="G19" i="20"/>
  <c r="L206" i="18"/>
  <c r="G106" i="20" s="1"/>
  <c r="G22" i="20"/>
  <c r="L209" i="18"/>
  <c r="G109" i="20" s="1"/>
  <c r="G24" i="20"/>
  <c r="L211" i="18"/>
  <c r="G111" i="20" s="1"/>
  <c r="M7" i="20"/>
  <c r="D226" i="18"/>
  <c r="Q226" i="18" s="1"/>
  <c r="M12" i="20"/>
  <c r="D231" i="18"/>
  <c r="M41" i="20" s="1"/>
  <c r="M17" i="20"/>
  <c r="D236" i="18"/>
  <c r="M22" i="20"/>
  <c r="D241" i="18"/>
  <c r="M51" i="20" s="1"/>
  <c r="I7" i="20"/>
  <c r="D257" i="18"/>
  <c r="I36" i="20" s="1"/>
  <c r="I12" i="20"/>
  <c r="D262" i="18"/>
  <c r="I41" i="20" s="1"/>
  <c r="I17" i="20"/>
  <c r="D267" i="18"/>
  <c r="I46" i="20" s="1"/>
  <c r="I22" i="20"/>
  <c r="D272" i="18"/>
  <c r="I51" i="20" s="1"/>
  <c r="J7" i="20"/>
  <c r="D293" i="18"/>
  <c r="J41" i="20" s="1"/>
  <c r="D298" i="18"/>
  <c r="J46" i="20" s="1"/>
  <c r="J22" i="20"/>
  <c r="D303" i="18"/>
  <c r="J51" i="20" s="1"/>
  <c r="K7" i="20"/>
  <c r="D319" i="18"/>
  <c r="Q319" i="18" s="1"/>
  <c r="K12" i="20"/>
  <c r="K17" i="20"/>
  <c r="D329" i="18"/>
  <c r="Q329" i="18" s="1"/>
  <c r="K22" i="20"/>
  <c r="D334" i="18"/>
  <c r="K51" i="20" s="1"/>
  <c r="L7" i="20"/>
  <c r="D350" i="18"/>
  <c r="D355" i="18"/>
  <c r="L41" i="20" s="1"/>
  <c r="L17" i="20"/>
  <c r="D360" i="18"/>
  <c r="Q360" i="18" s="1"/>
  <c r="L22" i="20"/>
  <c r="P7" i="20"/>
  <c r="D381" i="18"/>
  <c r="D386" i="18"/>
  <c r="P17" i="20"/>
  <c r="D391" i="18"/>
  <c r="P22" i="20"/>
  <c r="D396" i="18"/>
  <c r="P51" i="20" s="1"/>
  <c r="N7" i="20"/>
  <c r="D411" i="18"/>
  <c r="N36" i="20" s="1"/>
  <c r="D416" i="18"/>
  <c r="N41" i="20" s="1"/>
  <c r="N17" i="20"/>
  <c r="D421" i="18"/>
  <c r="N22" i="20"/>
  <c r="D426" i="18"/>
  <c r="Q426" i="18" s="1"/>
  <c r="O7" i="20"/>
  <c r="O12" i="20"/>
  <c r="D446" i="18"/>
  <c r="O17" i="20"/>
  <c r="D451" i="18"/>
  <c r="O46" i="20" s="1"/>
  <c r="O22" i="20"/>
  <c r="D456" i="18"/>
  <c r="O51" i="20" s="1"/>
  <c r="D74" i="17"/>
  <c r="C36" i="19" s="1"/>
  <c r="D206" i="17"/>
  <c r="G46" i="19" s="1"/>
  <c r="D390" i="17"/>
  <c r="P44" i="19" s="1"/>
  <c r="D59" i="17"/>
  <c r="B52" i="19" s="1"/>
  <c r="D202" i="17"/>
  <c r="G42" i="19" s="1"/>
  <c r="D258" i="17"/>
  <c r="I36" i="19" s="1"/>
  <c r="D382" i="17"/>
  <c r="Q382" i="17" s="1"/>
  <c r="D82" i="17"/>
  <c r="C44" i="19" s="1"/>
  <c r="D266" i="17"/>
  <c r="I44" i="19" s="1"/>
  <c r="D43" i="17"/>
  <c r="B36" i="19" s="1"/>
  <c r="D79" i="17"/>
  <c r="C41" i="19" s="1"/>
  <c r="D145" i="17"/>
  <c r="E46" i="19" s="1"/>
  <c r="D181" i="17"/>
  <c r="F51" i="19" s="1"/>
  <c r="D415" i="17"/>
  <c r="N39" i="19" s="1"/>
  <c r="L46" i="17"/>
  <c r="B97" i="19" s="1"/>
  <c r="C14" i="19"/>
  <c r="F14" i="19"/>
  <c r="F24" i="19"/>
  <c r="G9" i="19"/>
  <c r="I12" i="19"/>
  <c r="K7" i="19"/>
  <c r="D350" i="17"/>
  <c r="L35" i="19" s="1"/>
  <c r="L12" i="19"/>
  <c r="L17" i="19"/>
  <c r="P7" i="19"/>
  <c r="N17" i="19"/>
  <c r="D119" i="17"/>
  <c r="D51" i="19" s="1"/>
  <c r="H65" i="19"/>
  <c r="H67" i="19"/>
  <c r="H72" i="19"/>
  <c r="H77" i="19"/>
  <c r="H80" i="19"/>
  <c r="D26" i="17"/>
  <c r="H51" i="19" s="1"/>
  <c r="B65" i="19"/>
  <c r="B67" i="19"/>
  <c r="B70" i="19"/>
  <c r="B72" i="19"/>
  <c r="B77" i="19"/>
  <c r="D56" i="17"/>
  <c r="B49" i="19" s="1"/>
  <c r="B80" i="19"/>
  <c r="B82" i="19"/>
  <c r="C65" i="19"/>
  <c r="C67" i="19"/>
  <c r="C70" i="19"/>
  <c r="C72" i="19"/>
  <c r="C75" i="19"/>
  <c r="C77" i="19"/>
  <c r="C80" i="19"/>
  <c r="D65" i="19"/>
  <c r="D70" i="19"/>
  <c r="D72" i="19"/>
  <c r="D75" i="19"/>
  <c r="D77" i="19"/>
  <c r="D80" i="19"/>
  <c r="D82" i="19"/>
  <c r="E65" i="19"/>
  <c r="E67" i="19"/>
  <c r="E72" i="19"/>
  <c r="E75" i="19"/>
  <c r="E77" i="19"/>
  <c r="E80" i="19"/>
  <c r="E82" i="19"/>
  <c r="F65" i="19"/>
  <c r="F70" i="19"/>
  <c r="F72" i="19"/>
  <c r="F77" i="19"/>
  <c r="F80" i="19"/>
  <c r="F82" i="19"/>
  <c r="G65" i="19"/>
  <c r="G67" i="19"/>
  <c r="G70" i="19"/>
  <c r="G72" i="19"/>
  <c r="G77" i="19"/>
  <c r="G82" i="19"/>
  <c r="M20" i="19"/>
  <c r="M25" i="19"/>
  <c r="I10" i="19"/>
  <c r="I20" i="19"/>
  <c r="I25" i="19"/>
  <c r="J15" i="19"/>
  <c r="J20" i="19"/>
  <c r="J25" i="19"/>
  <c r="K10" i="19"/>
  <c r="K15" i="19"/>
  <c r="K25" i="19"/>
  <c r="L15" i="19"/>
  <c r="L20" i="19"/>
  <c r="P15" i="19"/>
  <c r="P20" i="19"/>
  <c r="P25" i="19"/>
  <c r="N10" i="19"/>
  <c r="N15" i="19"/>
  <c r="N25" i="19"/>
  <c r="O15" i="19"/>
  <c r="O20" i="19"/>
  <c r="O25" i="19"/>
  <c r="J18" i="20"/>
  <c r="E100" i="20"/>
  <c r="R139" i="18"/>
  <c r="L20" i="17"/>
  <c r="H103" i="19" s="1"/>
  <c r="C23" i="19"/>
  <c r="L90" i="17"/>
  <c r="C110" i="19" s="1"/>
  <c r="L108" i="17"/>
  <c r="D98" i="19" s="1"/>
  <c r="L120" i="17"/>
  <c r="D110" i="19" s="1"/>
  <c r="L139" i="17"/>
  <c r="E98" i="19" s="1"/>
  <c r="L144" i="17"/>
  <c r="E103" i="19" s="1"/>
  <c r="F18" i="19"/>
  <c r="L177" i="17"/>
  <c r="R177" i="17" s="1"/>
  <c r="G15" i="19"/>
  <c r="L207" i="17"/>
  <c r="G105" i="19" s="1"/>
  <c r="M9" i="19"/>
  <c r="I9" i="19"/>
  <c r="R48" i="20"/>
  <c r="D16" i="17"/>
  <c r="H41" i="19" s="1"/>
  <c r="D19" i="17"/>
  <c r="H44" i="19" s="1"/>
  <c r="D107" i="17"/>
  <c r="D39" i="19" s="1"/>
  <c r="R141" i="17"/>
  <c r="H20" i="19"/>
  <c r="D8" i="19"/>
  <c r="L167" i="17"/>
  <c r="F95" i="19" s="1"/>
  <c r="L172" i="17"/>
  <c r="F100" i="19" s="1"/>
  <c r="L182" i="17"/>
  <c r="F110" i="19" s="1"/>
  <c r="G25" i="19"/>
  <c r="D228" i="17"/>
  <c r="M37" i="19" s="1"/>
  <c r="R38" i="20" s="1"/>
  <c r="D233" i="17"/>
  <c r="M42" i="19" s="1"/>
  <c r="D259" i="17"/>
  <c r="I37" i="19" s="1"/>
  <c r="D264" i="17"/>
  <c r="I42" i="19" s="1"/>
  <c r="D321" i="17"/>
  <c r="K37" i="19" s="1"/>
  <c r="D357" i="17"/>
  <c r="L42" i="19" s="1"/>
  <c r="D367" i="17"/>
  <c r="Q367" i="17" s="1"/>
  <c r="N9" i="19"/>
  <c r="D428" i="17"/>
  <c r="N52" i="19" s="1"/>
  <c r="D443" i="17"/>
  <c r="O37" i="19" s="1"/>
  <c r="D448" i="17"/>
  <c r="Q448" i="17" s="1"/>
  <c r="N23" i="19"/>
  <c r="O23" i="19"/>
  <c r="H82" i="20"/>
  <c r="D48" i="18"/>
  <c r="B42" i="20" s="1"/>
  <c r="B74" i="20"/>
  <c r="D74" i="18"/>
  <c r="C37" i="20" s="1"/>
  <c r="D82" i="18"/>
  <c r="C45" i="20" s="1"/>
  <c r="D109" i="18"/>
  <c r="D42" i="20" s="1"/>
  <c r="D148" i="18"/>
  <c r="E50" i="20" s="1"/>
  <c r="F67" i="20"/>
  <c r="D169" i="18"/>
  <c r="F40" i="20" s="1"/>
  <c r="G79" i="20"/>
  <c r="D230" i="18"/>
  <c r="M40" i="20" s="1"/>
  <c r="D266" i="18"/>
  <c r="I45" i="20" s="1"/>
  <c r="J10" i="20"/>
  <c r="J15" i="20"/>
  <c r="D302" i="18"/>
  <c r="J50" i="20" s="1"/>
  <c r="K20" i="20"/>
  <c r="D333" i="18"/>
  <c r="K50" i="20" s="1"/>
  <c r="D349" i="18"/>
  <c r="L35" i="20" s="1"/>
  <c r="D390" i="18"/>
  <c r="P45" i="20" s="1"/>
  <c r="S45" i="20" s="1"/>
  <c r="L17" i="17"/>
  <c r="H100" i="19" s="1"/>
  <c r="L27" i="17"/>
  <c r="H110" i="19" s="1"/>
  <c r="C20" i="19"/>
  <c r="L88" i="17"/>
  <c r="L103" i="17"/>
  <c r="D93" i="19" s="1"/>
  <c r="L115" i="17"/>
  <c r="D105" i="19" s="1"/>
  <c r="L175" i="17"/>
  <c r="F103" i="19" s="1"/>
  <c r="G20" i="19"/>
  <c r="L210" i="17"/>
  <c r="G108" i="19" s="1"/>
  <c r="L212" i="17"/>
  <c r="G110" i="19" s="1"/>
  <c r="I14" i="19"/>
  <c r="D269" i="17"/>
  <c r="I47" i="19" s="1"/>
  <c r="D290" i="17"/>
  <c r="D300" i="17"/>
  <c r="J47" i="19" s="1"/>
  <c r="D336" i="17"/>
  <c r="K52" i="19" s="1"/>
  <c r="L24" i="19"/>
  <c r="D388" i="17"/>
  <c r="Q388" i="17" s="1"/>
  <c r="D398" i="17"/>
  <c r="P52" i="19" s="1"/>
  <c r="S53" i="20" s="1"/>
  <c r="D413" i="17"/>
  <c r="N37" i="19" s="1"/>
  <c r="N24" i="19"/>
  <c r="D453" i="17"/>
  <c r="O47" i="19" s="1"/>
  <c r="D458" i="17"/>
  <c r="O52" i="19" s="1"/>
  <c r="N13" i="19"/>
  <c r="H7" i="19"/>
  <c r="D12" i="17"/>
  <c r="H37" i="19" s="1"/>
  <c r="D15" i="17"/>
  <c r="H40" i="19" s="1"/>
  <c r="D17" i="17"/>
  <c r="H42" i="19" s="1"/>
  <c r="D20" i="17"/>
  <c r="Q20" i="17" s="1"/>
  <c r="D22" i="17"/>
  <c r="H47" i="19" s="1"/>
  <c r="H22" i="19"/>
  <c r="D25" i="17"/>
  <c r="H50" i="19" s="1"/>
  <c r="D42" i="17"/>
  <c r="B35" i="19" s="1"/>
  <c r="D47" i="17"/>
  <c r="B40" i="19" s="1"/>
  <c r="D49" i="17"/>
  <c r="D52" i="17"/>
  <c r="B45" i="19" s="1"/>
  <c r="D54" i="17"/>
  <c r="B47" i="19" s="1"/>
  <c r="D57" i="17"/>
  <c r="B50" i="19" s="1"/>
  <c r="D73" i="17"/>
  <c r="C35" i="19" s="1"/>
  <c r="D75" i="17"/>
  <c r="C37" i="19" s="1"/>
  <c r="D80" i="17"/>
  <c r="C42" i="19" s="1"/>
  <c r="D83" i="17"/>
  <c r="D85" i="17"/>
  <c r="C47" i="19" s="1"/>
  <c r="H13" i="20"/>
  <c r="I14" i="20"/>
  <c r="J19" i="20"/>
  <c r="D88" i="17"/>
  <c r="C50" i="19" s="1"/>
  <c r="D90" i="17"/>
  <c r="C52" i="19" s="1"/>
  <c r="D103" i="17"/>
  <c r="D35" i="19" s="1"/>
  <c r="D108" i="17"/>
  <c r="D110" i="17"/>
  <c r="D42" i="19" s="1"/>
  <c r="D113" i="17"/>
  <c r="D45" i="19" s="1"/>
  <c r="D115" i="17"/>
  <c r="D47" i="19" s="1"/>
  <c r="D118" i="17"/>
  <c r="Q118" i="17" s="1"/>
  <c r="D24" i="19"/>
  <c r="D120" i="17"/>
  <c r="D52" i="19" s="1"/>
  <c r="D134" i="17"/>
  <c r="E35" i="19" s="1"/>
  <c r="D136" i="17"/>
  <c r="E37" i="19" s="1"/>
  <c r="D141" i="17"/>
  <c r="E42" i="19" s="1"/>
  <c r="D144" i="17"/>
  <c r="E45" i="19" s="1"/>
  <c r="D146" i="17"/>
  <c r="D165" i="17"/>
  <c r="F35" i="19" s="1"/>
  <c r="D170" i="17"/>
  <c r="F40" i="19" s="1"/>
  <c r="D172" i="17"/>
  <c r="F42" i="19" s="1"/>
  <c r="F17" i="19"/>
  <c r="D175" i="17"/>
  <c r="F45" i="19" s="1"/>
  <c r="D177" i="17"/>
  <c r="F47" i="19" s="1"/>
  <c r="D180" i="17"/>
  <c r="F50" i="19" s="1"/>
  <c r="D182" i="17"/>
  <c r="Q182" i="17" s="1"/>
  <c r="D195" i="17"/>
  <c r="D197" i="17"/>
  <c r="G37" i="19" s="1"/>
  <c r="D200" i="17"/>
  <c r="G40" i="19" s="1"/>
  <c r="D205" i="17"/>
  <c r="G45" i="19" s="1"/>
  <c r="D207" i="17"/>
  <c r="G47" i="19" s="1"/>
  <c r="D210" i="17"/>
  <c r="G50" i="19" s="1"/>
  <c r="D212" i="17"/>
  <c r="G52" i="19" s="1"/>
  <c r="D227" i="17"/>
  <c r="Q227" i="17" s="1"/>
  <c r="D232" i="17"/>
  <c r="D237" i="17"/>
  <c r="M46" i="19" s="1"/>
  <c r="D242" i="17"/>
  <c r="Q242" i="17" s="1"/>
  <c r="D268" i="17"/>
  <c r="I46" i="19" s="1"/>
  <c r="I22" i="19"/>
  <c r="D289" i="17"/>
  <c r="J36" i="19" s="1"/>
  <c r="D294" i="17"/>
  <c r="J41" i="19" s="1"/>
  <c r="D335" i="17"/>
  <c r="K51" i="19" s="1"/>
  <c r="D351" i="17"/>
  <c r="Q351" i="17" s="1"/>
  <c r="D356" i="17"/>
  <c r="L41" i="19" s="1"/>
  <c r="D366" i="17"/>
  <c r="Q366" i="17" s="1"/>
  <c r="D387" i="17"/>
  <c r="P41" i="19" s="1"/>
  <c r="D392" i="17"/>
  <c r="P46" i="19" s="1"/>
  <c r="D412" i="17"/>
  <c r="N36" i="19" s="1"/>
  <c r="D417" i="17"/>
  <c r="N41" i="19" s="1"/>
  <c r="D422" i="17"/>
  <c r="Q422" i="17" s="1"/>
  <c r="D427" i="17"/>
  <c r="D442" i="17"/>
  <c r="Q442" i="17" s="1"/>
  <c r="D447" i="17"/>
  <c r="Q447" i="17" s="1"/>
  <c r="D452" i="17"/>
  <c r="O46" i="19" s="1"/>
  <c r="D457" i="17"/>
  <c r="O51" i="19" s="1"/>
  <c r="D10" i="20"/>
  <c r="D20" i="20"/>
  <c r="D23" i="20"/>
  <c r="E15" i="20"/>
  <c r="G8" i="20"/>
  <c r="G18" i="20"/>
  <c r="G25" i="20"/>
  <c r="M19" i="20"/>
  <c r="K9" i="20"/>
  <c r="P14" i="20"/>
  <c r="P19" i="20"/>
  <c r="P24" i="20"/>
  <c r="N9" i="20"/>
  <c r="N14" i="20"/>
  <c r="N19" i="20"/>
  <c r="O9" i="20"/>
  <c r="O14" i="20"/>
  <c r="O24" i="20"/>
  <c r="D109" i="17"/>
  <c r="D41" i="19" s="1"/>
  <c r="D114" i="17"/>
  <c r="D46" i="19" s="1"/>
  <c r="D117" i="17"/>
  <c r="D49" i="19" s="1"/>
  <c r="D133" i="17"/>
  <c r="E34" i="19" s="1"/>
  <c r="D135" i="17"/>
  <c r="E36" i="19" s="1"/>
  <c r="D143" i="17"/>
  <c r="E44" i="19" s="1"/>
  <c r="D166" i="17"/>
  <c r="F36" i="19" s="1"/>
  <c r="D169" i="17"/>
  <c r="F39" i="19" s="1"/>
  <c r="D179" i="17"/>
  <c r="F49" i="19" s="1"/>
  <c r="D194" i="17"/>
  <c r="G34" i="19" s="1"/>
  <c r="D196" i="17"/>
  <c r="G36" i="19" s="1"/>
  <c r="D201" i="17"/>
  <c r="G41" i="19" s="1"/>
  <c r="D204" i="17"/>
  <c r="G44" i="19" s="1"/>
  <c r="D225" i="17"/>
  <c r="M34" i="19" s="1"/>
  <c r="D230" i="17"/>
  <c r="M39" i="19" s="1"/>
  <c r="D240" i="17"/>
  <c r="M49" i="19" s="1"/>
  <c r="D256" i="17"/>
  <c r="I34" i="19" s="1"/>
  <c r="D261" i="17"/>
  <c r="I39" i="19" s="1"/>
  <c r="D292" i="17"/>
  <c r="J39" i="19" s="1"/>
  <c r="D297" i="17"/>
  <c r="J44" i="19" s="1"/>
  <c r="D328" i="17"/>
  <c r="K44" i="19" s="1"/>
  <c r="D333" i="17"/>
  <c r="K49" i="19" s="1"/>
  <c r="D349" i="17"/>
  <c r="L34" i="19" s="1"/>
  <c r="D354" i="17"/>
  <c r="L39" i="19" s="1"/>
  <c r="D385" i="17"/>
  <c r="P39" i="19" s="1"/>
  <c r="D410" i="17"/>
  <c r="N34" i="19" s="1"/>
  <c r="D425" i="17"/>
  <c r="N49" i="19" s="1"/>
  <c r="D445" i="17"/>
  <c r="O39" i="19" s="1"/>
  <c r="D450" i="17"/>
  <c r="O44" i="19" s="1"/>
  <c r="D455" i="17"/>
  <c r="O49" i="19" s="1"/>
  <c r="L22" i="18"/>
  <c r="H107" i="20" s="1"/>
  <c r="L200" i="18"/>
  <c r="G100" i="20" s="1"/>
  <c r="D448" i="18"/>
  <c r="O43" i="20" s="1"/>
  <c r="D172" i="18"/>
  <c r="F43" i="20" s="1"/>
  <c r="D237" i="18"/>
  <c r="M47" i="20" s="1"/>
  <c r="O18" i="20"/>
  <c r="R14" i="18"/>
  <c r="H71" i="20"/>
  <c r="H8" i="19"/>
  <c r="L10" i="17"/>
  <c r="H93" i="19" s="1"/>
  <c r="H10" i="19"/>
  <c r="H13" i="19"/>
  <c r="L15" i="17"/>
  <c r="H15" i="19"/>
  <c r="H18" i="19"/>
  <c r="H23" i="19"/>
  <c r="L25" i="17"/>
  <c r="H108" i="19" s="1"/>
  <c r="H25" i="19"/>
  <c r="B8" i="19"/>
  <c r="B10" i="19"/>
  <c r="L44" i="17"/>
  <c r="B95" i="19" s="1"/>
  <c r="B13" i="19"/>
  <c r="B15" i="19"/>
  <c r="L49" i="17"/>
  <c r="L52" i="17"/>
  <c r="P42" i="19"/>
  <c r="Q413" i="18"/>
  <c r="N38" i="20"/>
  <c r="R103" i="18"/>
  <c r="R136" i="18"/>
  <c r="R195" i="18"/>
  <c r="Q326" i="18"/>
  <c r="Q357" i="18"/>
  <c r="Q350" i="17"/>
  <c r="L52" i="19"/>
  <c r="Q428" i="17"/>
  <c r="R202" i="17"/>
  <c r="G100" i="19"/>
  <c r="H9" i="19"/>
  <c r="L11" i="17"/>
  <c r="H12" i="19"/>
  <c r="L14" i="17"/>
  <c r="H97" i="19" s="1"/>
  <c r="H14" i="19"/>
  <c r="L16" i="17"/>
  <c r="H17" i="19"/>
  <c r="H19" i="19"/>
  <c r="L21" i="17"/>
  <c r="L24" i="17"/>
  <c r="H107" i="19" s="1"/>
  <c r="H24" i="19"/>
  <c r="L26" i="17"/>
  <c r="H109" i="19" s="1"/>
  <c r="B7" i="19"/>
  <c r="L41" i="17"/>
  <c r="B9" i="19"/>
  <c r="L43" i="17"/>
  <c r="B94" i="19" s="1"/>
  <c r="B12" i="19"/>
  <c r="Q47" i="17"/>
  <c r="B14" i="19"/>
  <c r="L48" i="17"/>
  <c r="B99" i="19" s="1"/>
  <c r="Q49" i="17"/>
  <c r="B42" i="19"/>
  <c r="B17" i="19"/>
  <c r="L51" i="17"/>
  <c r="B19" i="19"/>
  <c r="L53" i="17"/>
  <c r="B104" i="19" s="1"/>
  <c r="B22" i="19"/>
  <c r="L56" i="17"/>
  <c r="B107" i="19" s="1"/>
  <c r="B24" i="19"/>
  <c r="L58" i="17"/>
  <c r="C7" i="19"/>
  <c r="L72" i="17"/>
  <c r="C92" i="19" s="1"/>
  <c r="C9" i="19"/>
  <c r="L74" i="17"/>
  <c r="C12" i="19"/>
  <c r="L77" i="17"/>
  <c r="L79" i="17"/>
  <c r="C17" i="19"/>
  <c r="L82" i="17"/>
  <c r="C102" i="19" s="1"/>
  <c r="Q83" i="17"/>
  <c r="C45" i="19"/>
  <c r="C19" i="19"/>
  <c r="L84" i="17"/>
  <c r="Q85" i="17"/>
  <c r="C22" i="19"/>
  <c r="L87" i="17"/>
  <c r="C24" i="19"/>
  <c r="L89" i="17"/>
  <c r="D7" i="19"/>
  <c r="L102" i="17"/>
  <c r="D9" i="19"/>
  <c r="L104" i="17"/>
  <c r="D94" i="19" s="1"/>
  <c r="D12" i="19"/>
  <c r="L107" i="17"/>
  <c r="D97" i="19" s="1"/>
  <c r="Q108" i="17"/>
  <c r="D40" i="19"/>
  <c r="D14" i="19"/>
  <c r="L109" i="17"/>
  <c r="D17" i="19"/>
  <c r="L112" i="17"/>
  <c r="D19" i="19"/>
  <c r="L114" i="17"/>
  <c r="D22" i="19"/>
  <c r="L117" i="17"/>
  <c r="D107" i="19" s="1"/>
  <c r="L119" i="17"/>
  <c r="D109" i="19" s="1"/>
  <c r="E7" i="19"/>
  <c r="L133" i="17"/>
  <c r="E9" i="19"/>
  <c r="L135" i="17"/>
  <c r="E94" i="19" s="1"/>
  <c r="E12" i="19"/>
  <c r="L138" i="17"/>
  <c r="E97" i="19" s="1"/>
  <c r="E14" i="19"/>
  <c r="L140" i="17"/>
  <c r="E99" i="19" s="1"/>
  <c r="E17" i="19"/>
  <c r="L143" i="17"/>
  <c r="E19" i="19"/>
  <c r="L145" i="17"/>
  <c r="Q146" i="17"/>
  <c r="E47" i="19"/>
  <c r="E22" i="19"/>
  <c r="L148" i="17"/>
  <c r="E24" i="19"/>
  <c r="L150" i="17"/>
  <c r="F7" i="19"/>
  <c r="L164" i="17"/>
  <c r="F9" i="19"/>
  <c r="F12" i="19"/>
  <c r="L169" i="17"/>
  <c r="L171" i="17"/>
  <c r="L174" i="17"/>
  <c r="F19" i="19"/>
  <c r="L176" i="17"/>
  <c r="F104" i="19" s="1"/>
  <c r="F22" i="19"/>
  <c r="L179" i="17"/>
  <c r="F107" i="19" s="1"/>
  <c r="L181" i="17"/>
  <c r="F109" i="19" s="1"/>
  <c r="G7" i="19"/>
  <c r="L194" i="17"/>
  <c r="L196" i="17"/>
  <c r="G12" i="19"/>
  <c r="L199" i="17"/>
  <c r="G14" i="19"/>
  <c r="L201" i="17"/>
  <c r="G99" i="19" s="1"/>
  <c r="G17" i="19"/>
  <c r="L204" i="17"/>
  <c r="G102" i="19" s="1"/>
  <c r="G19" i="19"/>
  <c r="L206" i="17"/>
  <c r="G104" i="19" s="1"/>
  <c r="G22" i="19"/>
  <c r="L209" i="17"/>
  <c r="G24" i="19"/>
  <c r="L211" i="17"/>
  <c r="M7" i="19"/>
  <c r="D226" i="17"/>
  <c r="M35" i="19" s="1"/>
  <c r="M12" i="19"/>
  <c r="D231" i="17"/>
  <c r="M17" i="19"/>
  <c r="D236" i="17"/>
  <c r="M22" i="19"/>
  <c r="D241" i="17"/>
  <c r="I7" i="19"/>
  <c r="D257" i="17"/>
  <c r="D262" i="17"/>
  <c r="I40" i="19" s="1"/>
  <c r="I17" i="19"/>
  <c r="D267" i="17"/>
  <c r="I45" i="19" s="1"/>
  <c r="D272" i="17"/>
  <c r="J7" i="19"/>
  <c r="J12" i="19"/>
  <c r="D293" i="17"/>
  <c r="J17" i="19"/>
  <c r="J22" i="19"/>
  <c r="K17" i="19"/>
  <c r="P12" i="19"/>
  <c r="O12" i="19"/>
  <c r="O22" i="19"/>
  <c r="D9" i="17"/>
  <c r="H34" i="19" s="1"/>
  <c r="D11" i="17"/>
  <c r="H36" i="19" s="1"/>
  <c r="D14" i="17"/>
  <c r="H39" i="19" s="1"/>
  <c r="R20" i="17"/>
  <c r="H75" i="19"/>
  <c r="D21" i="17"/>
  <c r="D46" i="17"/>
  <c r="B39" i="19" s="1"/>
  <c r="D58" i="17"/>
  <c r="B51" i="19" s="1"/>
  <c r="D72" i="17"/>
  <c r="C34" i="19" s="1"/>
  <c r="D84" i="17"/>
  <c r="C46" i="19" s="1"/>
  <c r="C82" i="19"/>
  <c r="D67" i="19"/>
  <c r="E70" i="19"/>
  <c r="F75" i="19"/>
  <c r="R205" i="17"/>
  <c r="G75" i="19"/>
  <c r="R210" i="17"/>
  <c r="G80" i="19"/>
  <c r="J10" i="19"/>
  <c r="Q331" i="17"/>
  <c r="K20" i="19"/>
  <c r="Q352" i="17"/>
  <c r="P10" i="19"/>
  <c r="O10" i="19"/>
  <c r="Q243" i="18"/>
  <c r="M53" i="20"/>
  <c r="Q290" i="18"/>
  <c r="J38" i="20"/>
  <c r="R15" i="18"/>
  <c r="H100" i="20"/>
  <c r="F76" i="20"/>
  <c r="G81" i="20"/>
  <c r="K13" i="20"/>
  <c r="N23" i="20"/>
  <c r="L10" i="19"/>
  <c r="L54" i="17"/>
  <c r="L80" i="17"/>
  <c r="R11" i="18"/>
  <c r="H96" i="20"/>
  <c r="D17" i="18"/>
  <c r="H43" i="20" s="1"/>
  <c r="D20" i="18"/>
  <c r="R21" i="18"/>
  <c r="D25" i="18"/>
  <c r="D27" i="18"/>
  <c r="R41" i="18"/>
  <c r="B94" i="20"/>
  <c r="D44" i="18"/>
  <c r="R46" i="18"/>
  <c r="B99" i="20"/>
  <c r="B22" i="20"/>
  <c r="D57" i="18"/>
  <c r="D80" i="18"/>
  <c r="D88" i="18"/>
  <c r="D103" i="18"/>
  <c r="D36" i="20" s="1"/>
  <c r="D9" i="20"/>
  <c r="D105" i="18"/>
  <c r="D38" i="20" s="1"/>
  <c r="R107" i="18"/>
  <c r="D99" i="20"/>
  <c r="R114" i="18"/>
  <c r="D106" i="20"/>
  <c r="D118" i="18"/>
  <c r="D134" i="18"/>
  <c r="E36" i="20" s="1"/>
  <c r="D139" i="18"/>
  <c r="E41" i="20" s="1"/>
  <c r="E14" i="20"/>
  <c r="D146" i="18"/>
  <c r="E48" i="20" s="1"/>
  <c r="D151" i="18"/>
  <c r="R164" i="18"/>
  <c r="F94" i="20"/>
  <c r="R166" i="18"/>
  <c r="F96" i="20"/>
  <c r="R174" i="18"/>
  <c r="F104" i="20"/>
  <c r="D180" i="18"/>
  <c r="D210" i="18"/>
  <c r="Q236" i="18"/>
  <c r="M46" i="20"/>
  <c r="D258" i="18"/>
  <c r="J12" i="20"/>
  <c r="D294" i="18"/>
  <c r="J17" i="20"/>
  <c r="D304" i="18"/>
  <c r="J52" i="20" s="1"/>
  <c r="K36" i="20"/>
  <c r="D330" i="18"/>
  <c r="D351" i="18"/>
  <c r="L12" i="20"/>
  <c r="D366" i="18"/>
  <c r="Q381" i="18"/>
  <c r="P36" i="20"/>
  <c r="Q386" i="18"/>
  <c r="P41" i="20"/>
  <c r="Q421" i="18"/>
  <c r="N46" i="20"/>
  <c r="D427" i="18"/>
  <c r="D447" i="18"/>
  <c r="D457" i="18"/>
  <c r="O52" i="20" s="1"/>
  <c r="L73" i="17"/>
  <c r="C93" i="19" s="1"/>
  <c r="L75" i="17"/>
  <c r="D10" i="18"/>
  <c r="D12" i="18"/>
  <c r="D15" i="18"/>
  <c r="H41" i="20" s="1"/>
  <c r="Q41" i="20" s="1"/>
  <c r="H19" i="20"/>
  <c r="D22" i="18"/>
  <c r="D42" i="18"/>
  <c r="B36" i="20" s="1"/>
  <c r="R43" i="18"/>
  <c r="B96" i="20"/>
  <c r="D47" i="18"/>
  <c r="Q48" i="18"/>
  <c r="B14" i="20"/>
  <c r="D49" i="18"/>
  <c r="D59" i="18"/>
  <c r="D73" i="18"/>
  <c r="C36" i="20" s="1"/>
  <c r="Q74" i="18"/>
  <c r="C9" i="20"/>
  <c r="D75" i="18"/>
  <c r="D78" i="18"/>
  <c r="R79" i="18"/>
  <c r="C101" i="20"/>
  <c r="C17" i="20"/>
  <c r="D83" i="18"/>
  <c r="D85" i="18"/>
  <c r="R102" i="18"/>
  <c r="D94" i="20"/>
  <c r="D110" i="18"/>
  <c r="D17" i="20"/>
  <c r="D113" i="18"/>
  <c r="D115" i="18"/>
  <c r="D120" i="18"/>
  <c r="D53" i="20" s="1"/>
  <c r="D136" i="18"/>
  <c r="E38" i="20" s="1"/>
  <c r="R138" i="18"/>
  <c r="E99" i="20"/>
  <c r="D141" i="18"/>
  <c r="E43" i="20" s="1"/>
  <c r="R143" i="18"/>
  <c r="E104" i="20"/>
  <c r="D149" i="18"/>
  <c r="E111" i="20"/>
  <c r="D165" i="18"/>
  <c r="F36" i="20" s="1"/>
  <c r="F12" i="20"/>
  <c r="D170" i="18"/>
  <c r="F101" i="20"/>
  <c r="D175" i="18"/>
  <c r="D177" i="18"/>
  <c r="F24" i="20"/>
  <c r="D182" i="18"/>
  <c r="D195" i="18"/>
  <c r="G36" i="20" s="1"/>
  <c r="G12" i="20"/>
  <c r="D200" i="18"/>
  <c r="D202" i="18"/>
  <c r="D205" i="18"/>
  <c r="D212" i="18"/>
  <c r="D227" i="18"/>
  <c r="M37" i="20" s="1"/>
  <c r="D232" i="18"/>
  <c r="M42" i="20" s="1"/>
  <c r="Q241" i="18"/>
  <c r="D242" i="18"/>
  <c r="M52" i="20" s="1"/>
  <c r="D268" i="18"/>
  <c r="D289" i="18"/>
  <c r="D325" i="18"/>
  <c r="K42" i="20" s="1"/>
  <c r="D335" i="18"/>
  <c r="K52" i="20" s="1"/>
  <c r="Q350" i="18"/>
  <c r="L36" i="20"/>
  <c r="D356" i="18"/>
  <c r="L42" i="20" s="1"/>
  <c r="D382" i="18"/>
  <c r="P12" i="20"/>
  <c r="D387" i="18"/>
  <c r="Q391" i="18"/>
  <c r="P46" i="20"/>
  <c r="D392" i="18"/>
  <c r="D412" i="18"/>
  <c r="N37" i="20" s="1"/>
  <c r="N12" i="20"/>
  <c r="D417" i="18"/>
  <c r="N42" i="20" s="1"/>
  <c r="D422" i="18"/>
  <c r="N51" i="20"/>
  <c r="D442" i="18"/>
  <c r="Q446" i="18"/>
  <c r="O41" i="20"/>
  <c r="D452" i="18"/>
  <c r="O47" i="20" s="1"/>
  <c r="N20" i="19"/>
  <c r="H69" i="20"/>
  <c r="C25" i="19"/>
  <c r="D13" i="19"/>
  <c r="D20" i="19"/>
  <c r="D23" i="19"/>
  <c r="D25" i="19"/>
  <c r="E10" i="19"/>
  <c r="E15" i="19"/>
  <c r="E25" i="19"/>
  <c r="F8" i="19"/>
  <c r="F13" i="19"/>
  <c r="F15" i="19"/>
  <c r="F20" i="19"/>
  <c r="F25" i="19"/>
  <c r="G8" i="19"/>
  <c r="G10" i="19"/>
  <c r="G23" i="19"/>
  <c r="M14" i="19"/>
  <c r="M24" i="19"/>
  <c r="I19" i="19"/>
  <c r="I24" i="19"/>
  <c r="J9" i="19"/>
  <c r="J19" i="19"/>
  <c r="J24" i="19"/>
  <c r="K14" i="19"/>
  <c r="K24" i="19"/>
  <c r="L9" i="19"/>
  <c r="L14" i="19"/>
  <c r="P9" i="19"/>
  <c r="P19" i="19"/>
  <c r="O14" i="19"/>
  <c r="O19" i="19"/>
  <c r="D9" i="18"/>
  <c r="H35" i="20" s="1"/>
  <c r="H67" i="20"/>
  <c r="D11" i="18"/>
  <c r="H37" i="20" s="1"/>
  <c r="Q37" i="20" s="1"/>
  <c r="D14" i="18"/>
  <c r="H40" i="20" s="1"/>
  <c r="H72" i="20"/>
  <c r="D19" i="18"/>
  <c r="B82" i="20"/>
  <c r="E72" i="20"/>
  <c r="K15" i="20"/>
  <c r="O10" i="20"/>
  <c r="Q295" i="18"/>
  <c r="J43" i="20"/>
  <c r="L42" i="18"/>
  <c r="B95" i="20" s="1"/>
  <c r="L54" i="18"/>
  <c r="D298" i="17"/>
  <c r="J45" i="19" s="1"/>
  <c r="D303" i="17"/>
  <c r="J50" i="19" s="1"/>
  <c r="D304" i="17"/>
  <c r="J51" i="19" s="1"/>
  <c r="D319" i="17"/>
  <c r="K35" i="19" s="1"/>
  <c r="K12" i="19"/>
  <c r="D325" i="17"/>
  <c r="K41" i="19" s="1"/>
  <c r="D329" i="17"/>
  <c r="D330" i="17"/>
  <c r="K22" i="19"/>
  <c r="D334" i="17"/>
  <c r="Q349" i="17"/>
  <c r="L7" i="19"/>
  <c r="D355" i="17"/>
  <c r="D360" i="17"/>
  <c r="L22" i="19"/>
  <c r="D381" i="17"/>
  <c r="D386" i="17"/>
  <c r="P17" i="19"/>
  <c r="D391" i="17"/>
  <c r="P22" i="19"/>
  <c r="D396" i="17"/>
  <c r="P50" i="19" s="1"/>
  <c r="N7" i="19"/>
  <c r="D411" i="17"/>
  <c r="N35" i="19" s="1"/>
  <c r="N12" i="19"/>
  <c r="D416" i="17"/>
  <c r="D421" i="17"/>
  <c r="N22" i="19"/>
  <c r="D426" i="17"/>
  <c r="O7" i="19"/>
  <c r="D446" i="17"/>
  <c r="O17" i="19"/>
  <c r="D451" i="17"/>
  <c r="O45" i="19" s="1"/>
  <c r="D456" i="17"/>
  <c r="O50" i="19" s="1"/>
  <c r="R207" i="18"/>
  <c r="G107" i="20"/>
  <c r="Q274" i="18"/>
  <c r="I53" i="20"/>
  <c r="Q453" i="18"/>
  <c r="O48" i="20"/>
  <c r="H66" i="20"/>
  <c r="H68" i="20"/>
  <c r="H73" i="20"/>
  <c r="H76" i="20"/>
  <c r="H78" i="20"/>
  <c r="H81" i="20"/>
  <c r="H83" i="20"/>
  <c r="B66" i="20"/>
  <c r="B68" i="20"/>
  <c r="B71" i="20"/>
  <c r="B73" i="20"/>
  <c r="B76" i="20"/>
  <c r="B78" i="20"/>
  <c r="B81" i="20"/>
  <c r="B83" i="20"/>
  <c r="C66" i="20"/>
  <c r="C68" i="20"/>
  <c r="C71" i="20"/>
  <c r="C73" i="20"/>
  <c r="C76" i="20"/>
  <c r="C78" i="20"/>
  <c r="C81" i="20"/>
  <c r="C83" i="20"/>
  <c r="D68" i="20"/>
  <c r="D71" i="20"/>
  <c r="D73" i="20"/>
  <c r="D76" i="20"/>
  <c r="D78" i="20"/>
  <c r="D81" i="20"/>
  <c r="D83" i="20"/>
  <c r="E66" i="20"/>
  <c r="E68" i="20"/>
  <c r="E71" i="20"/>
  <c r="E73" i="20"/>
  <c r="E76" i="20"/>
  <c r="E78" i="20"/>
  <c r="E81" i="20"/>
  <c r="E83" i="20"/>
  <c r="F66" i="20"/>
  <c r="F68" i="20"/>
  <c r="F71" i="20"/>
  <c r="F73" i="20"/>
  <c r="F78" i="20"/>
  <c r="F81" i="20"/>
  <c r="F83" i="20"/>
  <c r="G66" i="20"/>
  <c r="G68" i="20"/>
  <c r="G73" i="20"/>
  <c r="G76" i="20"/>
  <c r="G78" i="20"/>
  <c r="G83" i="20"/>
  <c r="M13" i="20"/>
  <c r="M18" i="20"/>
  <c r="M23" i="20"/>
  <c r="I8" i="20"/>
  <c r="I13" i="20"/>
  <c r="I18" i="20"/>
  <c r="I23" i="20"/>
  <c r="J8" i="20"/>
  <c r="J13" i="20"/>
  <c r="J23" i="20"/>
  <c r="K8" i="20"/>
  <c r="K18" i="20"/>
  <c r="K23" i="20"/>
  <c r="L8" i="20"/>
  <c r="L13" i="20"/>
  <c r="L18" i="20"/>
  <c r="L23" i="20"/>
  <c r="P8" i="20"/>
  <c r="P13" i="20"/>
  <c r="P18" i="20"/>
  <c r="P23" i="20"/>
  <c r="N8" i="20"/>
  <c r="N13" i="20"/>
  <c r="N18" i="20"/>
  <c r="O8" i="20"/>
  <c r="O13" i="20"/>
  <c r="O23" i="20"/>
  <c r="D16" i="18"/>
  <c r="H74" i="20"/>
  <c r="R20" i="18"/>
  <c r="D21" i="18"/>
  <c r="H79" i="20"/>
  <c r="H84" i="20"/>
  <c r="B67" i="20"/>
  <c r="B69" i="20"/>
  <c r="D46" i="18"/>
  <c r="B40" i="20" s="1"/>
  <c r="B72" i="20"/>
  <c r="B77" i="20"/>
  <c r="B79" i="20"/>
  <c r="D56" i="18"/>
  <c r="B84" i="20"/>
  <c r="D72" i="18"/>
  <c r="C35" i="20" s="1"/>
  <c r="C67" i="20"/>
  <c r="C69" i="20"/>
  <c r="C72" i="20"/>
  <c r="C74" i="20"/>
  <c r="C77" i="20"/>
  <c r="C79" i="20"/>
  <c r="C82" i="20"/>
  <c r="D89" i="18"/>
  <c r="C52" i="20" s="1"/>
  <c r="C84" i="20"/>
  <c r="D102" i="18"/>
  <c r="D67" i="20"/>
  <c r="D104" i="18"/>
  <c r="D69" i="20"/>
  <c r="D72" i="20"/>
  <c r="D74" i="20"/>
  <c r="D112" i="18"/>
  <c r="D45" i="20" s="1"/>
  <c r="D77" i="20"/>
  <c r="D114" i="18"/>
  <c r="D79" i="20"/>
  <c r="D82" i="20"/>
  <c r="D84" i="20"/>
  <c r="E67" i="20"/>
  <c r="E69" i="20"/>
  <c r="D138" i="18"/>
  <c r="D140" i="18"/>
  <c r="E42" i="20" s="1"/>
  <c r="E74" i="20"/>
  <c r="E77" i="20"/>
  <c r="D145" i="18"/>
  <c r="E47" i="20" s="1"/>
  <c r="E79" i="20"/>
  <c r="E82" i="20"/>
  <c r="D150" i="18"/>
  <c r="E84" i="20"/>
  <c r="D166" i="18"/>
  <c r="F69" i="20"/>
  <c r="F72" i="20"/>
  <c r="F74" i="20"/>
  <c r="R177" i="18"/>
  <c r="F79" i="20"/>
  <c r="D179" i="18"/>
  <c r="F50" i="20" s="1"/>
  <c r="F82" i="20"/>
  <c r="D181" i="18"/>
  <c r="F84" i="20"/>
  <c r="G67" i="20"/>
  <c r="G69" i="20"/>
  <c r="D199" i="18"/>
  <c r="G40" i="20" s="1"/>
  <c r="G72" i="20"/>
  <c r="D201" i="18"/>
  <c r="G74" i="20"/>
  <c r="G77" i="20"/>
  <c r="D206" i="18"/>
  <c r="G47" i="20" s="1"/>
  <c r="D209" i="18"/>
  <c r="G50" i="20" s="1"/>
  <c r="G82" i="20"/>
  <c r="G84" i="20"/>
  <c r="D225" i="18"/>
  <c r="M35" i="20" s="1"/>
  <c r="R35" i="20" s="1"/>
  <c r="M10" i="20"/>
  <c r="M15" i="20"/>
  <c r="Q238" i="18"/>
  <c r="M20" i="20"/>
  <c r="D240" i="18"/>
  <c r="M50" i="20" s="1"/>
  <c r="M25" i="20"/>
  <c r="D256" i="18"/>
  <c r="I35" i="20" s="1"/>
  <c r="Q259" i="18"/>
  <c r="I10" i="20"/>
  <c r="D261" i="18"/>
  <c r="I40" i="20" s="1"/>
  <c r="I15" i="20"/>
  <c r="I20" i="20"/>
  <c r="I25" i="20"/>
  <c r="D292" i="18"/>
  <c r="J40" i="20" s="1"/>
  <c r="D297" i="18"/>
  <c r="J45" i="20" s="1"/>
  <c r="J20" i="20"/>
  <c r="J25" i="20"/>
  <c r="D328" i="18"/>
  <c r="K45" i="20" s="1"/>
  <c r="Q336" i="18"/>
  <c r="K25" i="20"/>
  <c r="L10" i="20"/>
  <c r="D354" i="18"/>
  <c r="L40" i="20" s="1"/>
  <c r="L20" i="20"/>
  <c r="Q367" i="18"/>
  <c r="L25" i="20"/>
  <c r="Q383" i="18"/>
  <c r="P10" i="20"/>
  <c r="D385" i="18"/>
  <c r="P40" i="20" s="1"/>
  <c r="P15" i="20"/>
  <c r="P20" i="20"/>
  <c r="P25" i="20"/>
  <c r="D410" i="18"/>
  <c r="N10" i="20"/>
  <c r="D415" i="18"/>
  <c r="N40" i="20" s="1"/>
  <c r="N15" i="20"/>
  <c r="N20" i="20"/>
  <c r="D425" i="18"/>
  <c r="N50" i="20" s="1"/>
  <c r="N25" i="20"/>
  <c r="O15" i="20"/>
  <c r="D450" i="18"/>
  <c r="O45" i="20" s="1"/>
  <c r="O20" i="20"/>
  <c r="D455" i="18"/>
  <c r="O25" i="20"/>
  <c r="L13" i="19"/>
  <c r="L18" i="19"/>
  <c r="L23" i="19"/>
  <c r="P18" i="19"/>
  <c r="P23" i="19"/>
  <c r="O8" i="19"/>
  <c r="H10" i="20"/>
  <c r="H15" i="20"/>
  <c r="L17" i="18"/>
  <c r="H102" i="20" s="1"/>
  <c r="H18" i="20"/>
  <c r="H20" i="20"/>
  <c r="H23" i="20"/>
  <c r="L27" i="18"/>
  <c r="H112" i="20" s="1"/>
  <c r="B8" i="20"/>
  <c r="B13" i="20"/>
  <c r="L47" i="18"/>
  <c r="B100" i="20" s="1"/>
  <c r="B15" i="20"/>
  <c r="B18" i="20"/>
  <c r="B20" i="20"/>
  <c r="B23" i="20"/>
  <c r="L59" i="18"/>
  <c r="B112" i="20" s="1"/>
  <c r="C8" i="20"/>
  <c r="C10" i="20"/>
  <c r="L75" i="18"/>
  <c r="C97" i="20" s="1"/>
  <c r="C13" i="20"/>
  <c r="L80" i="18"/>
  <c r="C102" i="20" s="1"/>
  <c r="C18" i="20"/>
  <c r="L83" i="18"/>
  <c r="C20" i="20"/>
  <c r="L85" i="18"/>
  <c r="C107" i="20" s="1"/>
  <c r="C23" i="20"/>
  <c r="C25" i="20"/>
  <c r="D8" i="20"/>
  <c r="L105" i="18"/>
  <c r="D15" i="20"/>
  <c r="D18" i="20"/>
  <c r="L118" i="18"/>
  <c r="D110" i="20" s="1"/>
  <c r="D25" i="20"/>
  <c r="L134" i="18"/>
  <c r="E95" i="20" s="1"/>
  <c r="E10" i="20"/>
  <c r="E13" i="20"/>
  <c r="E20" i="20"/>
  <c r="E23" i="20"/>
  <c r="E25" i="20"/>
  <c r="F8" i="20"/>
  <c r="L167" i="18"/>
  <c r="F13" i="20"/>
  <c r="F15" i="20"/>
  <c r="F18" i="20"/>
  <c r="L175" i="18"/>
  <c r="F20" i="20"/>
  <c r="F25" i="20"/>
  <c r="L182" i="18"/>
  <c r="F112" i="20" s="1"/>
  <c r="G10" i="20"/>
  <c r="G13" i="20"/>
  <c r="G15" i="20"/>
  <c r="G20" i="20"/>
  <c r="G23" i="20"/>
  <c r="M9" i="20"/>
  <c r="M14" i="20"/>
  <c r="D233" i="18"/>
  <c r="M43" i="20" s="1"/>
  <c r="R43" i="20" s="1"/>
  <c r="M24" i="20"/>
  <c r="I19" i="20"/>
  <c r="D269" i="18"/>
  <c r="I48" i="20" s="1"/>
  <c r="I24" i="20"/>
  <c r="J9" i="20"/>
  <c r="D300" i="18"/>
  <c r="D305" i="18"/>
  <c r="J53" i="20" s="1"/>
  <c r="K14" i="20"/>
  <c r="K19" i="20"/>
  <c r="D331" i="18"/>
  <c r="K24" i="20"/>
  <c r="L9" i="20"/>
  <c r="L14" i="20"/>
  <c r="L19" i="20"/>
  <c r="D362" i="18"/>
  <c r="L24" i="20"/>
  <c r="P9" i="20"/>
  <c r="D388" i="18"/>
  <c r="D393" i="18"/>
  <c r="P48" i="20" s="1"/>
  <c r="S48" i="20" s="1"/>
  <c r="D418" i="18"/>
  <c r="D443" i="18"/>
  <c r="D458" i="18"/>
  <c r="F77" i="20"/>
  <c r="R12" i="18"/>
  <c r="R202" i="18"/>
  <c r="Q141" i="18"/>
  <c r="Q325" i="18"/>
  <c r="Q84" i="18"/>
  <c r="Q445" i="18"/>
  <c r="Q349" i="18"/>
  <c r="R197" i="18"/>
  <c r="Q352" i="18"/>
  <c r="R77" i="18"/>
  <c r="Q105" i="18"/>
  <c r="Q242" i="18"/>
  <c r="R49" i="18"/>
  <c r="R51" i="18"/>
  <c r="D423" i="18"/>
  <c r="R25" i="18"/>
  <c r="Q46" i="18"/>
  <c r="R194" i="18"/>
  <c r="R48" i="18"/>
  <c r="D52" i="18"/>
  <c r="R74" i="18"/>
  <c r="D167" i="18"/>
  <c r="R176" i="18"/>
  <c r="D211" i="18"/>
  <c r="D26" i="18"/>
  <c r="D54" i="18"/>
  <c r="R58" i="18"/>
  <c r="L109" i="18"/>
  <c r="R113" i="18"/>
  <c r="L145" i="18"/>
  <c r="R149" i="18"/>
  <c r="R196" i="18"/>
  <c r="D197" i="18"/>
  <c r="L210" i="18"/>
  <c r="G110" i="20" s="1"/>
  <c r="D263" i="18"/>
  <c r="D299" i="18"/>
  <c r="R135" i="18"/>
  <c r="Q428" i="18"/>
  <c r="L10" i="18"/>
  <c r="Q17" i="18"/>
  <c r="R26" i="18"/>
  <c r="R57" i="18"/>
  <c r="R72" i="18"/>
  <c r="R141" i="18"/>
  <c r="D171" i="18"/>
  <c r="R206" i="18"/>
  <c r="D207" i="18"/>
  <c r="Q228" i="18"/>
  <c r="Q266" i="18"/>
  <c r="Q335" i="18"/>
  <c r="Q355" i="18"/>
  <c r="R180" i="18"/>
  <c r="L9" i="18"/>
  <c r="L19" i="18"/>
  <c r="D24" i="18"/>
  <c r="L44" i="18"/>
  <c r="D58" i="18"/>
  <c r="L73" i="18"/>
  <c r="L78" i="18"/>
  <c r="L88" i="18"/>
  <c r="L90" i="18"/>
  <c r="R104" i="18"/>
  <c r="D108" i="18"/>
  <c r="L110" i="18"/>
  <c r="L120" i="18"/>
  <c r="R140" i="18"/>
  <c r="D144" i="18"/>
  <c r="L146" i="18"/>
  <c r="L170" i="18"/>
  <c r="R199" i="18"/>
  <c r="Q264" i="18"/>
  <c r="Q272" i="18"/>
  <c r="D273" i="18"/>
  <c r="D288" i="18"/>
  <c r="Q334" i="18"/>
  <c r="D361" i="18"/>
  <c r="L47" i="20" s="1"/>
  <c r="D441" i="18"/>
  <c r="D43" i="18"/>
  <c r="D51" i="18"/>
  <c r="Q53" i="18"/>
  <c r="D77" i="18"/>
  <c r="D107" i="18"/>
  <c r="R115" i="18"/>
  <c r="D119" i="18"/>
  <c r="D135" i="18"/>
  <c r="D143" i="18"/>
  <c r="R151" i="18"/>
  <c r="D164" i="18"/>
  <c r="R172" i="18"/>
  <c r="D176" i="18"/>
  <c r="F47" i="20" s="1"/>
  <c r="D196" i="18"/>
  <c r="D204" i="18"/>
  <c r="R212" i="18"/>
  <c r="Q267" i="18"/>
  <c r="D271" i="18"/>
  <c r="I50" i="20" s="1"/>
  <c r="D287" i="18"/>
  <c r="Q303" i="18"/>
  <c r="D320" i="18"/>
  <c r="D397" i="18"/>
  <c r="Q416" i="18"/>
  <c r="D420" i="18"/>
  <c r="D440" i="18"/>
  <c r="Q456" i="18"/>
  <c r="D90" i="18"/>
  <c r="R112" i="18"/>
  <c r="R148" i="18"/>
  <c r="R169" i="18"/>
  <c r="L205" i="18"/>
  <c r="R209" i="18"/>
  <c r="Q232" i="18"/>
  <c r="Q262" i="18"/>
  <c r="Q298" i="18"/>
  <c r="Q321" i="18"/>
  <c r="D324" i="18"/>
  <c r="D365" i="18"/>
  <c r="Q398" i="18"/>
  <c r="Q411" i="18"/>
  <c r="Q451" i="18"/>
  <c r="Q452" i="18"/>
  <c r="D41" i="18"/>
  <c r="L52" i="18"/>
  <c r="D79" i="18"/>
  <c r="C42" i="20" s="1"/>
  <c r="D87" i="18"/>
  <c r="L89" i="18"/>
  <c r="L108" i="18"/>
  <c r="D117" i="18"/>
  <c r="D133" i="18"/>
  <c r="L144" i="18"/>
  <c r="L165" i="18"/>
  <c r="D174" i="18"/>
  <c r="D194" i="18"/>
  <c r="Q231" i="18"/>
  <c r="D235" i="18"/>
  <c r="M45" i="20" s="1"/>
  <c r="D318" i="18"/>
  <c r="K35" i="20" s="1"/>
  <c r="D323" i="18"/>
  <c r="K40" i="20" s="1"/>
  <c r="D359" i="18"/>
  <c r="D364" i="18"/>
  <c r="D380" i="18"/>
  <c r="P35" i="20" s="1"/>
  <c r="D395" i="18"/>
  <c r="Q107" i="17"/>
  <c r="Q143" i="17"/>
  <c r="Q425" i="17"/>
  <c r="Q25" i="17"/>
  <c r="Q207" i="17"/>
  <c r="Q145" i="17"/>
  <c r="R44" i="17"/>
  <c r="D10" i="17"/>
  <c r="Q179" i="17"/>
  <c r="R146" i="17"/>
  <c r="Q181" i="17"/>
  <c r="Q295" i="17"/>
  <c r="R212" i="17"/>
  <c r="Q59" i="17"/>
  <c r="Q110" i="17"/>
  <c r="R135" i="17"/>
  <c r="Q393" i="17"/>
  <c r="D44" i="17"/>
  <c r="R53" i="17"/>
  <c r="D167" i="17"/>
  <c r="Q269" i="17"/>
  <c r="Q305" i="17"/>
  <c r="D320" i="17"/>
  <c r="Q418" i="17"/>
  <c r="L12" i="17"/>
  <c r="L22" i="17"/>
  <c r="R134" i="17"/>
  <c r="D150" i="17"/>
  <c r="Q233" i="17"/>
  <c r="D263" i="17"/>
  <c r="Q268" i="17"/>
  <c r="D299" i="17"/>
  <c r="D326" i="17"/>
  <c r="R181" i="17"/>
  <c r="R57" i="17"/>
  <c r="L9" i="17"/>
  <c r="L19" i="17"/>
  <c r="D24" i="17"/>
  <c r="D48" i="17"/>
  <c r="L83" i="17"/>
  <c r="D105" i="17"/>
  <c r="L118" i="17"/>
  <c r="R138" i="17"/>
  <c r="D139" i="17"/>
  <c r="D171" i="17"/>
  <c r="F41" i="19" s="1"/>
  <c r="Q228" i="17"/>
  <c r="Q230" i="17"/>
  <c r="D274" i="17"/>
  <c r="Q302" i="17"/>
  <c r="R17" i="17"/>
  <c r="Q16" i="17"/>
  <c r="L47" i="17"/>
  <c r="R110" i="17"/>
  <c r="D149" i="17"/>
  <c r="L170" i="17"/>
  <c r="R197" i="17"/>
  <c r="Q202" i="17"/>
  <c r="D273" i="17"/>
  <c r="D288" i="17"/>
  <c r="D441" i="17"/>
  <c r="Q457" i="17"/>
  <c r="D41" i="17"/>
  <c r="D53" i="17"/>
  <c r="B46" i="19" s="1"/>
  <c r="D77" i="17"/>
  <c r="C39" i="19" s="1"/>
  <c r="Q79" i="17"/>
  <c r="R85" i="17"/>
  <c r="D89" i="17"/>
  <c r="D104" i="17"/>
  <c r="D36" i="19" s="1"/>
  <c r="D112" i="17"/>
  <c r="D138" i="17"/>
  <c r="L149" i="17"/>
  <c r="D164" i="17"/>
  <c r="L166" i="17"/>
  <c r="F94" i="19" s="1"/>
  <c r="R172" i="17"/>
  <c r="D176" i="17"/>
  <c r="D199" i="17"/>
  <c r="D211" i="17"/>
  <c r="Q225" i="17"/>
  <c r="D271" i="17"/>
  <c r="D287" i="17"/>
  <c r="Q303" i="17"/>
  <c r="Q333" i="17"/>
  <c r="D361" i="17"/>
  <c r="L46" i="19" s="1"/>
  <c r="D397" i="17"/>
  <c r="Q417" i="17"/>
  <c r="D420" i="17"/>
  <c r="D440" i="17"/>
  <c r="D27" i="17"/>
  <c r="Q78" i="17"/>
  <c r="R117" i="17"/>
  <c r="D151" i="17"/>
  <c r="L200" i="17"/>
  <c r="D324" i="17"/>
  <c r="Q362" i="17"/>
  <c r="D365" i="17"/>
  <c r="L50" i="19" s="1"/>
  <c r="R46" i="17"/>
  <c r="L78" i="17"/>
  <c r="L42" i="17"/>
  <c r="D51" i="17"/>
  <c r="D87" i="17"/>
  <c r="D102" i="17"/>
  <c r="L113" i="17"/>
  <c r="R136" i="17"/>
  <c r="D140" i="17"/>
  <c r="D148" i="17"/>
  <c r="E49" i="19" s="1"/>
  <c r="L165" i="17"/>
  <c r="D174" i="17"/>
  <c r="Q177" i="17"/>
  <c r="D209" i="17"/>
  <c r="D235" i="17"/>
  <c r="Q297" i="17"/>
  <c r="D318" i="17"/>
  <c r="D323" i="17"/>
  <c r="D359" i="17"/>
  <c r="D364" i="17"/>
  <c r="D380" i="17"/>
  <c r="D395" i="17"/>
  <c r="P49" i="19" s="1"/>
  <c r="Q396" i="18" l="1"/>
  <c r="R182" i="17"/>
  <c r="Q356" i="17"/>
  <c r="R206" i="17"/>
  <c r="Q292" i="17"/>
  <c r="Q457" i="18"/>
  <c r="R211" i="18"/>
  <c r="O41" i="19"/>
  <c r="R84" i="18"/>
  <c r="Q90" i="17"/>
  <c r="Q336" i="17"/>
  <c r="Q445" i="17"/>
  <c r="R16" i="18"/>
  <c r="R53" i="18"/>
  <c r="Q237" i="18"/>
  <c r="R119" i="18"/>
  <c r="L51" i="19"/>
  <c r="D109" i="20"/>
  <c r="F111" i="20"/>
  <c r="C104" i="20"/>
  <c r="M51" i="19"/>
  <c r="Q206" i="17"/>
  <c r="Q133" i="17"/>
  <c r="M52" i="19"/>
  <c r="R53" i="20" s="1"/>
  <c r="Q383" i="17"/>
  <c r="Q43" i="17"/>
  <c r="R59" i="17"/>
  <c r="Q74" i="17"/>
  <c r="Q75" i="17"/>
  <c r="Q172" i="17"/>
  <c r="R179" i="18"/>
  <c r="L46" i="20"/>
  <c r="R144" i="17"/>
  <c r="Q200" i="17"/>
  <c r="Q201" i="17"/>
  <c r="Q266" i="17"/>
  <c r="Q120" i="17"/>
  <c r="R201" i="18"/>
  <c r="Q40" i="20"/>
  <c r="R175" i="17"/>
  <c r="R180" i="17"/>
  <c r="Q14" i="17"/>
  <c r="Q238" i="17"/>
  <c r="Q73" i="17"/>
  <c r="Q42" i="17"/>
  <c r="Q293" i="18"/>
  <c r="E94" i="20"/>
  <c r="R204" i="18"/>
  <c r="Q72" i="17"/>
  <c r="Q134" i="17"/>
  <c r="R24" i="18"/>
  <c r="C109" i="20"/>
  <c r="Q205" i="17"/>
  <c r="Q257" i="18"/>
  <c r="Q171" i="17"/>
  <c r="K46" i="20"/>
  <c r="M36" i="20"/>
  <c r="R36" i="20" s="1"/>
  <c r="Q361" i="17"/>
  <c r="R195" i="17"/>
  <c r="Q204" i="17"/>
  <c r="R56" i="18"/>
  <c r="Q119" i="17"/>
  <c r="Q452" i="17"/>
  <c r="Q103" i="17"/>
  <c r="Q390" i="18"/>
  <c r="R105" i="17"/>
  <c r="P36" i="19"/>
  <c r="Q165" i="17"/>
  <c r="R26" i="17"/>
  <c r="R104" i="17"/>
  <c r="Q450" i="17"/>
  <c r="R107" i="17"/>
  <c r="Q325" i="17"/>
  <c r="Q385" i="17"/>
  <c r="Q145" i="18"/>
  <c r="S40" i="20"/>
  <c r="N46" i="19"/>
  <c r="Q335" i="17"/>
  <c r="D50" i="19"/>
  <c r="Q57" i="17"/>
  <c r="H45" i="19"/>
  <c r="Q82" i="17"/>
  <c r="Q411" i="17"/>
  <c r="Q302" i="18"/>
  <c r="Q54" i="17"/>
  <c r="Q413" i="17"/>
  <c r="Q17" i="17"/>
  <c r="Q390" i="17"/>
  <c r="R119" i="17"/>
  <c r="Q328" i="17"/>
  <c r="Q230" i="18"/>
  <c r="Q139" i="18"/>
  <c r="M36" i="19"/>
  <c r="R37" i="20" s="1"/>
  <c r="F52" i="19"/>
  <c r="R108" i="17"/>
  <c r="R10" i="17"/>
  <c r="Q235" i="18"/>
  <c r="S51" i="20"/>
  <c r="Q451" i="17"/>
  <c r="Q298" i="17"/>
  <c r="Q113" i="17"/>
  <c r="R207" i="17"/>
  <c r="Q395" i="17"/>
  <c r="Q135" i="17"/>
  <c r="R43" i="17"/>
  <c r="R24" i="17"/>
  <c r="Q240" i="17"/>
  <c r="Q448" i="18"/>
  <c r="Q318" i="18"/>
  <c r="Q14" i="18"/>
  <c r="Q425" i="18"/>
  <c r="Q387" i="17"/>
  <c r="L36" i="19"/>
  <c r="Q56" i="17"/>
  <c r="Q19" i="17"/>
  <c r="Q453" i="17"/>
  <c r="Q115" i="17"/>
  <c r="Q256" i="17"/>
  <c r="Q292" i="18"/>
  <c r="Q109" i="17"/>
  <c r="Q410" i="17"/>
  <c r="Q261" i="17"/>
  <c r="Q262" i="17"/>
  <c r="R82" i="17"/>
  <c r="Q114" i="17"/>
  <c r="Q264" i="17"/>
  <c r="Q80" i="17"/>
  <c r="Q415" i="17"/>
  <c r="Q258" i="17"/>
  <c r="Q148" i="18"/>
  <c r="Q328" i="18"/>
  <c r="R47" i="20"/>
  <c r="Q176" i="18"/>
  <c r="Q11" i="18"/>
  <c r="R50" i="20"/>
  <c r="Q209" i="18"/>
  <c r="Q180" i="17"/>
  <c r="Q144" i="17"/>
  <c r="Q365" i="17"/>
  <c r="Q53" i="17"/>
  <c r="Q197" i="17"/>
  <c r="Q89" i="18"/>
  <c r="Q134" i="18"/>
  <c r="Q271" i="18"/>
  <c r="Q443" i="17"/>
  <c r="R139" i="17"/>
  <c r="Q289" i="17"/>
  <c r="Q58" i="17"/>
  <c r="Q398" i="17"/>
  <c r="R204" i="17"/>
  <c r="Q210" i="17"/>
  <c r="Q166" i="17"/>
  <c r="Q52" i="17"/>
  <c r="Q300" i="17"/>
  <c r="Q319" i="17"/>
  <c r="Q194" i="17"/>
  <c r="Q259" i="17"/>
  <c r="Q412" i="17"/>
  <c r="Q117" i="17"/>
  <c r="Q380" i="18"/>
  <c r="R200" i="18"/>
  <c r="Q304" i="18"/>
  <c r="Q240" i="18"/>
  <c r="Q103" i="18"/>
  <c r="Q43" i="20"/>
  <c r="R27" i="17"/>
  <c r="Q22" i="17"/>
  <c r="R103" i="17"/>
  <c r="C108" i="19"/>
  <c r="R88" i="17"/>
  <c r="Q148" i="17"/>
  <c r="Q141" i="17"/>
  <c r="Q9" i="17"/>
  <c r="Q261" i="18"/>
  <c r="R17" i="18"/>
  <c r="R210" i="18"/>
  <c r="O42" i="19"/>
  <c r="Q321" i="17"/>
  <c r="Q455" i="17"/>
  <c r="Q357" i="17"/>
  <c r="Q15" i="17"/>
  <c r="Q136" i="17"/>
  <c r="Q450" i="18"/>
  <c r="Q323" i="18"/>
  <c r="Q72" i="18"/>
  <c r="Q179" i="18"/>
  <c r="O36" i="19"/>
  <c r="Q82" i="18"/>
  <c r="Q237" i="17"/>
  <c r="F105" i="19"/>
  <c r="R40" i="20"/>
  <c r="R14" i="17"/>
  <c r="Q456" i="17"/>
  <c r="Q88" i="17"/>
  <c r="Q458" i="17"/>
  <c r="R115" i="17"/>
  <c r="Q354" i="17"/>
  <c r="Q120" i="18"/>
  <c r="Q333" i="18"/>
  <c r="Q109" i="18"/>
  <c r="Q79" i="18"/>
  <c r="Q35" i="20"/>
  <c r="R90" i="17"/>
  <c r="Q212" i="17"/>
  <c r="Q267" i="17"/>
  <c r="Q175" i="17"/>
  <c r="R120" i="17"/>
  <c r="Q396" i="17"/>
  <c r="R25" i="17"/>
  <c r="Q392" i="17"/>
  <c r="R166" i="17"/>
  <c r="Q294" i="17"/>
  <c r="Q12" i="17"/>
  <c r="Q412" i="18"/>
  <c r="Q195" i="18"/>
  <c r="Q417" i="18"/>
  <c r="R182" i="18"/>
  <c r="Q172" i="18"/>
  <c r="R22" i="18"/>
  <c r="Q196" i="17"/>
  <c r="Q11" i="17"/>
  <c r="Q85" i="18"/>
  <c r="C48" i="20"/>
  <c r="R149" i="17"/>
  <c r="E108" i="19"/>
  <c r="Q89" i="17"/>
  <c r="C51" i="19"/>
  <c r="Q41" i="17"/>
  <c r="B34" i="19"/>
  <c r="Q273" i="17"/>
  <c r="I51" i="19"/>
  <c r="Q320" i="17"/>
  <c r="K36" i="19"/>
  <c r="Q299" i="18"/>
  <c r="J47" i="20"/>
  <c r="Q227" i="18"/>
  <c r="O53" i="20"/>
  <c r="Q458" i="18"/>
  <c r="J48" i="20"/>
  <c r="Q300" i="18"/>
  <c r="Q392" i="18"/>
  <c r="P47" i="20"/>
  <c r="S47" i="20" s="1"/>
  <c r="Q212" i="18"/>
  <c r="G53" i="20"/>
  <c r="Q113" i="18"/>
  <c r="D46" i="20"/>
  <c r="Q83" i="18"/>
  <c r="C46" i="20"/>
  <c r="Q287" i="17"/>
  <c r="J34" i="19"/>
  <c r="Q199" i="17"/>
  <c r="G39" i="19"/>
  <c r="R83" i="17"/>
  <c r="C103" i="19"/>
  <c r="Q273" i="18"/>
  <c r="I52" i="20"/>
  <c r="R120" i="18"/>
  <c r="D112" i="20"/>
  <c r="R73" i="18"/>
  <c r="C95" i="20"/>
  <c r="Q171" i="18"/>
  <c r="F42" i="20"/>
  <c r="Q443" i="18"/>
  <c r="O38" i="20"/>
  <c r="F105" i="20"/>
  <c r="R175" i="18"/>
  <c r="D97" i="20"/>
  <c r="R105" i="18"/>
  <c r="Q446" i="17"/>
  <c r="O40" i="19"/>
  <c r="Q442" i="18"/>
  <c r="O37" i="20"/>
  <c r="Q289" i="18"/>
  <c r="J37" i="20"/>
  <c r="G46" i="20"/>
  <c r="Q205" i="18"/>
  <c r="F48" i="20"/>
  <c r="Q177" i="18"/>
  <c r="Q20" i="18"/>
  <c r="H46" i="20"/>
  <c r="R80" i="17"/>
  <c r="C100" i="19"/>
  <c r="M40" i="19"/>
  <c r="R41" i="20" s="1"/>
  <c r="Q231" i="17"/>
  <c r="R209" i="17"/>
  <c r="G107" i="19"/>
  <c r="F97" i="19"/>
  <c r="R169" i="17"/>
  <c r="R148" i="17"/>
  <c r="E107" i="19"/>
  <c r="E102" i="19"/>
  <c r="R143" i="17"/>
  <c r="R102" i="17"/>
  <c r="D92" i="19"/>
  <c r="R84" i="17"/>
  <c r="C104" i="19"/>
  <c r="R77" i="17"/>
  <c r="C97" i="19"/>
  <c r="R51" i="17"/>
  <c r="B102" i="19"/>
  <c r="R78" i="17"/>
  <c r="C98" i="19"/>
  <c r="Q151" i="17"/>
  <c r="E52" i="19"/>
  <c r="Q440" i="17"/>
  <c r="O34" i="19"/>
  <c r="Q271" i="17"/>
  <c r="I49" i="19"/>
  <c r="Q176" i="17"/>
  <c r="F46" i="19"/>
  <c r="Q138" i="17"/>
  <c r="E39" i="19"/>
  <c r="Q441" i="17"/>
  <c r="O35" i="19"/>
  <c r="R47" i="17"/>
  <c r="B98" i="19"/>
  <c r="R179" i="17"/>
  <c r="R56" i="17"/>
  <c r="Q44" i="17"/>
  <c r="B37" i="19"/>
  <c r="Q174" i="18"/>
  <c r="F45" i="20"/>
  <c r="R89" i="18"/>
  <c r="C111" i="20"/>
  <c r="Q441" i="18"/>
  <c r="O36" i="20"/>
  <c r="R110" i="18"/>
  <c r="D102" i="20"/>
  <c r="Q58" i="18"/>
  <c r="B52" i="20"/>
  <c r="Q356" i="18"/>
  <c r="Q146" i="18"/>
  <c r="Q15" i="18"/>
  <c r="N43" i="20"/>
  <c r="Q418" i="18"/>
  <c r="B50" i="20"/>
  <c r="Q56" i="18"/>
  <c r="P45" i="19"/>
  <c r="S46" i="20" s="1"/>
  <c r="Q391" i="17"/>
  <c r="L45" i="19"/>
  <c r="Q360" i="17"/>
  <c r="K50" i="19"/>
  <c r="Q334" i="17"/>
  <c r="I47" i="20"/>
  <c r="Q268" i="18"/>
  <c r="G43" i="20"/>
  <c r="Q202" i="18"/>
  <c r="B38" i="20"/>
  <c r="Q44" i="18"/>
  <c r="R54" i="17"/>
  <c r="B105" i="19"/>
  <c r="G92" i="19"/>
  <c r="R194" i="17"/>
  <c r="Q46" i="17"/>
  <c r="H99" i="19"/>
  <c r="R16" i="17"/>
  <c r="B103" i="19"/>
  <c r="R52" i="17"/>
  <c r="Q299" i="17"/>
  <c r="J46" i="19"/>
  <c r="Q305" i="18"/>
  <c r="G42" i="20"/>
  <c r="Q201" i="18"/>
  <c r="B41" i="19"/>
  <c r="Q48" i="17"/>
  <c r="R165" i="18"/>
  <c r="F95" i="20"/>
  <c r="Q77" i="18"/>
  <c r="C40" i="20"/>
  <c r="B97" i="20"/>
  <c r="R44" i="18"/>
  <c r="R109" i="18"/>
  <c r="D101" i="20"/>
  <c r="D37" i="20"/>
  <c r="Q104" i="18"/>
  <c r="N45" i="19"/>
  <c r="Q421" i="17"/>
  <c r="Q387" i="18"/>
  <c r="P42" i="20"/>
  <c r="S42" i="20" s="1"/>
  <c r="Q151" i="18"/>
  <c r="E53" i="20"/>
  <c r="H46" i="19"/>
  <c r="Q21" i="17"/>
  <c r="I50" i="19"/>
  <c r="Q272" i="17"/>
  <c r="E92" i="19"/>
  <c r="R133" i="17"/>
  <c r="R74" i="17"/>
  <c r="C94" i="19"/>
  <c r="B100" i="19"/>
  <c r="R49" i="17"/>
  <c r="Q209" i="17"/>
  <c r="G49" i="19"/>
  <c r="E40" i="19"/>
  <c r="Q139" i="17"/>
  <c r="R176" i="17"/>
  <c r="Q87" i="18"/>
  <c r="C50" i="20"/>
  <c r="E37" i="20"/>
  <c r="Q135" i="18"/>
  <c r="Q197" i="18"/>
  <c r="G38" i="20"/>
  <c r="N40" i="19"/>
  <c r="Q416" i="17"/>
  <c r="H45" i="20"/>
  <c r="Q45" i="20" s="1"/>
  <c r="Q19" i="18"/>
  <c r="Q297" i="18"/>
  <c r="Q180" i="18"/>
  <c r="F51" i="20"/>
  <c r="R114" i="17"/>
  <c r="D104" i="19"/>
  <c r="R21" i="17"/>
  <c r="H104" i="19"/>
  <c r="Q359" i="17"/>
  <c r="L44" i="19"/>
  <c r="Q326" i="17"/>
  <c r="K42" i="19"/>
  <c r="Q136" i="18"/>
  <c r="Q420" i="18"/>
  <c r="N45" i="20"/>
  <c r="Q423" i="18"/>
  <c r="N48" i="20"/>
  <c r="D47" i="20"/>
  <c r="Q114" i="18"/>
  <c r="D35" i="20"/>
  <c r="Q102" i="18"/>
  <c r="C41" i="20"/>
  <c r="Q78" i="18"/>
  <c r="Q12" i="18"/>
  <c r="H38" i="20"/>
  <c r="Q38" i="20" s="1"/>
  <c r="Q354" i="18"/>
  <c r="Q294" i="18"/>
  <c r="J42" i="20"/>
  <c r="C43" i="20"/>
  <c r="Q80" i="18"/>
  <c r="Q318" i="17"/>
  <c r="K34" i="19"/>
  <c r="J35" i="19"/>
  <c r="Q288" i="17"/>
  <c r="Q41" i="18"/>
  <c r="B35" i="20"/>
  <c r="Q397" i="18"/>
  <c r="P52" i="20"/>
  <c r="L48" i="20"/>
  <c r="Q362" i="18"/>
  <c r="C105" i="20"/>
  <c r="R83" i="18"/>
  <c r="E52" i="20"/>
  <c r="Q150" i="18"/>
  <c r="Q115" i="18"/>
  <c r="D48" i="20"/>
  <c r="C95" i="19"/>
  <c r="R75" i="17"/>
  <c r="Q330" i="18"/>
  <c r="K47" i="20"/>
  <c r="R113" i="17"/>
  <c r="D103" i="19"/>
  <c r="Q420" i="17"/>
  <c r="N44" i="19"/>
  <c r="Q359" i="18"/>
  <c r="L45" i="20"/>
  <c r="D41" i="20"/>
  <c r="Q108" i="18"/>
  <c r="Q211" i="18"/>
  <c r="G52" i="20"/>
  <c r="Q355" i="17"/>
  <c r="L40" i="19"/>
  <c r="Q241" i="17"/>
  <c r="M50" i="19"/>
  <c r="R51" i="20" s="1"/>
  <c r="C109" i="19"/>
  <c r="R89" i="17"/>
  <c r="Q364" i="17"/>
  <c r="L49" i="19"/>
  <c r="Q102" i="17"/>
  <c r="D34" i="19"/>
  <c r="R170" i="17"/>
  <c r="F98" i="19"/>
  <c r="Q24" i="17"/>
  <c r="H49" i="19"/>
  <c r="R144" i="18"/>
  <c r="E105" i="20"/>
  <c r="Q440" i="18"/>
  <c r="O35" i="20"/>
  <c r="Q24" i="18"/>
  <c r="H50" i="20"/>
  <c r="Q9" i="18"/>
  <c r="R80" i="18"/>
  <c r="H47" i="20"/>
  <c r="Q21" i="18"/>
  <c r="Q330" i="17"/>
  <c r="K46" i="19"/>
  <c r="R54" i="18"/>
  <c r="B107" i="20"/>
  <c r="Q422" i="18"/>
  <c r="N47" i="20"/>
  <c r="R199" i="17"/>
  <c r="G97" i="19"/>
  <c r="Q323" i="17"/>
  <c r="K39" i="19"/>
  <c r="Q174" i="17"/>
  <c r="F44" i="19"/>
  <c r="Q149" i="17"/>
  <c r="E50" i="19"/>
  <c r="Q304" i="17"/>
  <c r="Q167" i="17"/>
  <c r="F37" i="19"/>
  <c r="R140" i="17"/>
  <c r="Q324" i="18"/>
  <c r="K41" i="20"/>
  <c r="Q165" i="18"/>
  <c r="Q225" i="18"/>
  <c r="D52" i="20"/>
  <c r="Q119" i="18"/>
  <c r="Q51" i="18"/>
  <c r="B45" i="20"/>
  <c r="Q361" i="18"/>
  <c r="N35" i="20"/>
  <c r="Q410" i="18"/>
  <c r="E40" i="20"/>
  <c r="Q138" i="18"/>
  <c r="Q182" i="18"/>
  <c r="F53" i="20"/>
  <c r="C38" i="20"/>
  <c r="Q75" i="18"/>
  <c r="Q47" i="18"/>
  <c r="B41" i="20"/>
  <c r="Q10" i="18"/>
  <c r="H36" i="20"/>
  <c r="Q351" i="18"/>
  <c r="L37" i="20"/>
  <c r="Q210" i="18"/>
  <c r="G51" i="20"/>
  <c r="Q140" i="18"/>
  <c r="Q263" i="17"/>
  <c r="I41" i="19"/>
  <c r="Q133" i="18"/>
  <c r="E35" i="20"/>
  <c r="R170" i="18"/>
  <c r="F100" i="20"/>
  <c r="R10" i="18"/>
  <c r="H95" i="20"/>
  <c r="Q54" i="18"/>
  <c r="B48" i="20"/>
  <c r="Q200" i="18"/>
  <c r="G41" i="20"/>
  <c r="Q112" i="18"/>
  <c r="R87" i="17"/>
  <c r="C107" i="19"/>
  <c r="R200" i="17"/>
  <c r="G98" i="19"/>
  <c r="Q397" i="17"/>
  <c r="P51" i="19"/>
  <c r="Q211" i="17"/>
  <c r="G51" i="19"/>
  <c r="Q112" i="17"/>
  <c r="D44" i="19"/>
  <c r="Q104" i="17"/>
  <c r="Q274" i="17"/>
  <c r="I52" i="19"/>
  <c r="R118" i="17"/>
  <c r="D108" i="19"/>
  <c r="R72" i="17"/>
  <c r="Q395" i="18"/>
  <c r="P50" i="20"/>
  <c r="S50" i="20" s="1"/>
  <c r="R75" i="18"/>
  <c r="Q90" i="18"/>
  <c r="C53" i="20"/>
  <c r="Q320" i="18"/>
  <c r="K37" i="20"/>
  <c r="Q204" i="18"/>
  <c r="G45" i="20"/>
  <c r="Q42" i="18"/>
  <c r="R146" i="18"/>
  <c r="E107" i="20"/>
  <c r="R88" i="18"/>
  <c r="C110" i="20"/>
  <c r="Q263" i="18"/>
  <c r="I42" i="20"/>
  <c r="Q73" i="18"/>
  <c r="Q331" i="18"/>
  <c r="K48" i="20"/>
  <c r="R134" i="18"/>
  <c r="Q381" i="17"/>
  <c r="P35" i="19"/>
  <c r="Q385" i="18"/>
  <c r="Q149" i="18"/>
  <c r="E51" i="20"/>
  <c r="Q59" i="18"/>
  <c r="B53" i="20"/>
  <c r="Q22" i="18"/>
  <c r="H48" i="20"/>
  <c r="Q48" i="20" s="1"/>
  <c r="S36" i="20"/>
  <c r="Q256" i="18"/>
  <c r="Q25" i="18"/>
  <c r="H51" i="20"/>
  <c r="Q51" i="20" s="1"/>
  <c r="R196" i="17"/>
  <c r="G94" i="19"/>
  <c r="R112" i="17"/>
  <c r="D102" i="19"/>
  <c r="R165" i="17"/>
  <c r="F93" i="19"/>
  <c r="R19" i="17"/>
  <c r="H102" i="19"/>
  <c r="R22" i="17"/>
  <c r="H105" i="19"/>
  <c r="Q164" i="18"/>
  <c r="F35" i="20"/>
  <c r="Q43" i="18"/>
  <c r="B37" i="20"/>
  <c r="R90" i="18"/>
  <c r="C112" i="20"/>
  <c r="Q329" i="17"/>
  <c r="K45" i="19"/>
  <c r="Q27" i="18"/>
  <c r="H53" i="20"/>
  <c r="R164" i="17"/>
  <c r="F92" i="19"/>
  <c r="R145" i="17"/>
  <c r="E104" i="19"/>
  <c r="R41" i="17"/>
  <c r="B92" i="19"/>
  <c r="Q235" i="17"/>
  <c r="M44" i="19"/>
  <c r="R45" i="20" s="1"/>
  <c r="Q140" i="17"/>
  <c r="E41" i="19"/>
  <c r="Q51" i="17"/>
  <c r="B44" i="19"/>
  <c r="Q105" i="17"/>
  <c r="D37" i="19"/>
  <c r="R9" i="17"/>
  <c r="H92" i="19"/>
  <c r="R12" i="17"/>
  <c r="H95" i="19"/>
  <c r="Q226" i="17"/>
  <c r="Q77" i="17"/>
  <c r="Q10" i="17"/>
  <c r="H35" i="19"/>
  <c r="Q194" i="18"/>
  <c r="G35" i="20"/>
  <c r="Q117" i="18"/>
  <c r="D50" i="20"/>
  <c r="R52" i="18"/>
  <c r="B105" i="20"/>
  <c r="Q365" i="18"/>
  <c r="L51" i="20"/>
  <c r="R205" i="18"/>
  <c r="G105" i="20"/>
  <c r="Q196" i="18"/>
  <c r="G37" i="20"/>
  <c r="Q107" i="18"/>
  <c r="D40" i="20"/>
  <c r="Q144" i="18"/>
  <c r="E46" i="20"/>
  <c r="R9" i="18"/>
  <c r="H94" i="20"/>
  <c r="Q393" i="18"/>
  <c r="Q207" i="18"/>
  <c r="G48" i="20"/>
  <c r="R145" i="18"/>
  <c r="E106" i="20"/>
  <c r="R47" i="18"/>
  <c r="R167" i="18"/>
  <c r="F97" i="20"/>
  <c r="Q426" i="17"/>
  <c r="N50" i="19"/>
  <c r="Q415" i="18"/>
  <c r="Q382" i="18"/>
  <c r="P37" i="20"/>
  <c r="S37" i="20" s="1"/>
  <c r="Q199" i="18"/>
  <c r="Q49" i="18"/>
  <c r="B43" i="20"/>
  <c r="Q447" i="18"/>
  <c r="O42" i="20"/>
  <c r="Q293" i="17"/>
  <c r="J40" i="19"/>
  <c r="Q257" i="17"/>
  <c r="I35" i="19"/>
  <c r="Q236" i="17"/>
  <c r="M45" i="19"/>
  <c r="R46" i="20" s="1"/>
  <c r="R58" i="17"/>
  <c r="B109" i="19"/>
  <c r="R11" i="17"/>
  <c r="H94" i="19"/>
  <c r="H98" i="19"/>
  <c r="R15" i="17"/>
  <c r="Q87" i="17"/>
  <c r="C49" i="19"/>
  <c r="R19" i="18"/>
  <c r="H104" i="20"/>
  <c r="Q167" i="18"/>
  <c r="F38" i="20"/>
  <c r="Q386" i="17"/>
  <c r="P40" i="19"/>
  <c r="S41" i="20" s="1"/>
  <c r="R52" i="20"/>
  <c r="Q258" i="18"/>
  <c r="I37" i="20"/>
  <c r="Q57" i="18"/>
  <c r="B51" i="20"/>
  <c r="R174" i="17"/>
  <c r="F102" i="19"/>
  <c r="Q380" i="17"/>
  <c r="P34" i="19"/>
  <c r="S35" i="20" s="1"/>
  <c r="R42" i="17"/>
  <c r="B93" i="19"/>
  <c r="Q324" i="17"/>
  <c r="K40" i="19"/>
  <c r="Q27" i="17"/>
  <c r="H52" i="19"/>
  <c r="Q164" i="17"/>
  <c r="F34" i="19"/>
  <c r="Q150" i="17"/>
  <c r="E51" i="19"/>
  <c r="R48" i="17"/>
  <c r="R73" i="17"/>
  <c r="Q364" i="18"/>
  <c r="L50" i="20"/>
  <c r="R108" i="18"/>
  <c r="D100" i="20"/>
  <c r="Q287" i="18"/>
  <c r="J35" i="20"/>
  <c r="Q143" i="18"/>
  <c r="E45" i="20"/>
  <c r="Q288" i="18"/>
  <c r="J36" i="20"/>
  <c r="R78" i="18"/>
  <c r="C100" i="20"/>
  <c r="Q26" i="18"/>
  <c r="H52" i="20"/>
  <c r="Q52" i="20" s="1"/>
  <c r="Q52" i="18"/>
  <c r="B46" i="20"/>
  <c r="Q269" i="18"/>
  <c r="R85" i="18"/>
  <c r="R42" i="18"/>
  <c r="Q170" i="18"/>
  <c r="F41" i="20"/>
  <c r="Q366" i="18"/>
  <c r="L52" i="20"/>
  <c r="R109" i="17"/>
  <c r="D99" i="19"/>
  <c r="R79" i="17"/>
  <c r="C99" i="19"/>
  <c r="G49" i="16"/>
  <c r="C13" i="16"/>
  <c r="B52" i="16"/>
  <c r="O60" i="16"/>
  <c r="Z27" i="16"/>
  <c r="L77" i="16"/>
  <c r="G77" i="16"/>
  <c r="B48" i="16"/>
  <c r="I17" i="16"/>
  <c r="O38" i="16"/>
  <c r="E7" i="16"/>
  <c r="B8" i="16"/>
  <c r="X7" i="16"/>
  <c r="J37" i="16"/>
  <c r="P82" i="16"/>
  <c r="D73" i="16"/>
  <c r="E6" i="16"/>
  <c r="Y31" i="16"/>
  <c r="AB11" i="16"/>
  <c r="C18" i="16"/>
  <c r="Q37" i="16"/>
  <c r="T17" i="16"/>
  <c r="C61" i="16"/>
  <c r="I77" i="16"/>
  <c r="K69" i="16"/>
  <c r="K10" i="16"/>
  <c r="T31" i="16"/>
  <c r="M56" i="16"/>
  <c r="Q79" i="16"/>
  <c r="M62" i="16"/>
  <c r="F16" i="16"/>
  <c r="I41" i="16"/>
  <c r="AC11" i="16"/>
  <c r="U32" i="16"/>
  <c r="F39" i="16"/>
  <c r="U17" i="16"/>
  <c r="L57" i="16"/>
  <c r="I5" i="16"/>
  <c r="K50" i="16"/>
  <c r="Z33" i="16"/>
  <c r="K47" i="16"/>
  <c r="M14" i="16"/>
  <c r="D77" i="16"/>
  <c r="N62" i="16"/>
  <c r="O13" i="16"/>
  <c r="K5" i="16"/>
  <c r="AE26" i="16"/>
  <c r="M28" i="16"/>
  <c r="S16" i="16"/>
  <c r="W32" i="16"/>
  <c r="C49" i="16"/>
  <c r="F53" i="16"/>
  <c r="U18" i="16"/>
  <c r="X16" i="16"/>
  <c r="P58" i="16"/>
  <c r="H81" i="16"/>
  <c r="P79" i="16"/>
  <c r="G70" i="16"/>
  <c r="T33" i="16"/>
  <c r="AG8" i="16"/>
  <c r="O81" i="16"/>
  <c r="J59" i="16"/>
  <c r="F29" i="16"/>
  <c r="AF30" i="16"/>
  <c r="J11" i="16"/>
  <c r="Y5" i="16"/>
  <c r="G71" i="16"/>
  <c r="Q62" i="16"/>
  <c r="K40" i="16"/>
  <c r="AB7" i="16"/>
  <c r="I79" i="16"/>
  <c r="B62" i="16"/>
  <c r="X15" i="16"/>
  <c r="I37" i="16"/>
  <c r="U11" i="16"/>
  <c r="C32" i="16"/>
  <c r="U35" i="16"/>
  <c r="F28" i="16"/>
  <c r="L73" i="16"/>
  <c r="L15" i="16"/>
  <c r="AC31" i="16"/>
  <c r="Z16" i="16"/>
  <c r="E37" i="16"/>
  <c r="J79" i="16"/>
  <c r="AE15" i="16"/>
  <c r="L55" i="16"/>
  <c r="C10" i="16"/>
  <c r="J49" i="16"/>
  <c r="C79" i="16"/>
  <c r="AG18" i="16"/>
  <c r="AD10" i="16"/>
  <c r="F60" i="16"/>
  <c r="T29" i="16"/>
  <c r="O82" i="16"/>
  <c r="AF37" i="16"/>
  <c r="I75" i="16"/>
  <c r="AD9" i="16"/>
  <c r="S5" i="16"/>
  <c r="M50" i="16"/>
  <c r="M27" i="16"/>
  <c r="D55" i="16"/>
  <c r="I73" i="16"/>
  <c r="J55" i="16"/>
  <c r="P55" i="16"/>
  <c r="L52" i="16"/>
  <c r="N8" i="16"/>
  <c r="AB30" i="16"/>
  <c r="AC8" i="16"/>
  <c r="AE20" i="16"/>
  <c r="B37" i="16"/>
  <c r="W29" i="16"/>
  <c r="Y18" i="16"/>
  <c r="W16" i="16"/>
  <c r="T34" i="16"/>
  <c r="S31" i="16"/>
  <c r="M83" i="16"/>
  <c r="AD30" i="16"/>
  <c r="P54" i="16"/>
  <c r="M55" i="16"/>
  <c r="Q40" i="16"/>
  <c r="AA17" i="16"/>
  <c r="AB10" i="16"/>
  <c r="F62" i="16"/>
  <c r="H14" i="16"/>
  <c r="AC7" i="16"/>
  <c r="T36" i="16"/>
  <c r="Y34" i="16"/>
  <c r="G27" i="16"/>
  <c r="AD28" i="16"/>
  <c r="H17" i="16"/>
  <c r="AE32" i="16"/>
  <c r="F50" i="16"/>
  <c r="C56" i="16"/>
  <c r="W38" i="16"/>
  <c r="O7" i="16"/>
  <c r="L54" i="16"/>
  <c r="S37" i="16"/>
  <c r="AA7" i="16"/>
  <c r="I30" i="16"/>
  <c r="AG36" i="16"/>
  <c r="I51" i="16"/>
  <c r="P41" i="16"/>
  <c r="B27" i="16"/>
  <c r="E40" i="16"/>
  <c r="H57" i="16"/>
  <c r="F36" i="16"/>
  <c r="R34" i="16"/>
  <c r="P73" i="16"/>
  <c r="M53" i="16"/>
  <c r="U7" i="16"/>
  <c r="H77" i="16"/>
  <c r="N57" i="16"/>
  <c r="L50" i="16"/>
  <c r="L53" i="16"/>
  <c r="X13" i="16"/>
  <c r="AG39" i="16"/>
  <c r="D20" i="16"/>
  <c r="U39" i="16"/>
  <c r="I54" i="16"/>
  <c r="R33" i="16"/>
  <c r="M76" i="16"/>
  <c r="Q70" i="16"/>
  <c r="F48" i="16"/>
  <c r="L9" i="16"/>
  <c r="I57" i="16"/>
  <c r="L69" i="16"/>
  <c r="X10" i="16"/>
  <c r="R18" i="16"/>
  <c r="M31" i="16"/>
  <c r="O17" i="16"/>
  <c r="E20" i="16"/>
  <c r="J75" i="16"/>
  <c r="W17" i="16"/>
  <c r="S33" i="16"/>
  <c r="C68" i="16"/>
  <c r="I10" i="16"/>
  <c r="J48" i="16"/>
  <c r="V7" i="16"/>
  <c r="AB31" i="16"/>
  <c r="V28" i="16"/>
  <c r="AC28" i="16"/>
  <c r="W31" i="16"/>
  <c r="O40" i="16"/>
  <c r="N75" i="16"/>
  <c r="G35" i="16"/>
  <c r="N61" i="16"/>
  <c r="R7" i="16"/>
  <c r="AE40" i="16"/>
  <c r="Y9" i="16"/>
  <c r="N16" i="16"/>
  <c r="G56" i="16"/>
  <c r="W18" i="16"/>
  <c r="U27" i="16"/>
  <c r="C83" i="16"/>
  <c r="AG33" i="16"/>
  <c r="D14" i="16"/>
  <c r="N30" i="16"/>
  <c r="Y39" i="16"/>
  <c r="AB19" i="16"/>
  <c r="AD38" i="16"/>
  <c r="Q53" i="16"/>
  <c r="D33" i="16"/>
  <c r="F75" i="16"/>
  <c r="I39" i="16"/>
  <c r="C26" i="16"/>
  <c r="M80" i="16"/>
  <c r="U31" i="16"/>
  <c r="B80" i="16"/>
  <c r="K26" i="16"/>
  <c r="E12" i="16"/>
  <c r="K33" i="16"/>
  <c r="C51" i="16"/>
  <c r="AC17" i="16"/>
  <c r="C59" i="16"/>
  <c r="AE5" i="16"/>
  <c r="AD29" i="16"/>
  <c r="J51" i="16"/>
  <c r="U6" i="16"/>
  <c r="L10" i="16"/>
  <c r="AB29" i="16"/>
  <c r="AC20" i="16"/>
  <c r="Z40" i="16"/>
  <c r="K55" i="16"/>
  <c r="U40" i="16"/>
  <c r="Y17" i="16"/>
  <c r="M74" i="16"/>
  <c r="N9" i="16"/>
  <c r="M36" i="16"/>
  <c r="H75" i="16"/>
  <c r="N48" i="16"/>
  <c r="O72" i="16"/>
  <c r="T41" i="16"/>
  <c r="F35" i="16"/>
  <c r="V34" i="16"/>
  <c r="J34" i="16"/>
  <c r="G48" i="16"/>
  <c r="O8" i="16"/>
  <c r="AD18" i="16"/>
  <c r="Y37" i="16"/>
  <c r="S12" i="16"/>
  <c r="N60" i="16"/>
  <c r="K38" i="16"/>
  <c r="B15" i="16"/>
  <c r="D30" i="16"/>
  <c r="I60" i="16"/>
  <c r="K37" i="16"/>
  <c r="H50" i="16"/>
  <c r="AB35" i="16"/>
  <c r="F17" i="16"/>
  <c r="AE36" i="16"/>
  <c r="J9" i="16"/>
  <c r="AD33" i="16"/>
  <c r="E69" i="16"/>
  <c r="AC10" i="16"/>
  <c r="E49" i="16"/>
  <c r="AD7" i="16"/>
  <c r="AD32" i="16"/>
  <c r="L72" i="16"/>
  <c r="AA15" i="16"/>
  <c r="K7" i="16"/>
  <c r="K51" i="16"/>
  <c r="AA40" i="16"/>
  <c r="O68" i="16"/>
  <c r="X31" i="16"/>
  <c r="O54" i="16"/>
  <c r="G82" i="16"/>
  <c r="M60" i="16"/>
  <c r="C30" i="16"/>
  <c r="H31" i="16"/>
  <c r="R11" i="16"/>
  <c r="C6" i="16"/>
  <c r="AF36" i="16"/>
  <c r="J17" i="16"/>
  <c r="AG17" i="16"/>
  <c r="X29" i="16"/>
  <c r="AB6" i="16"/>
  <c r="Y8" i="16"/>
  <c r="F31" i="16"/>
  <c r="S20" i="16"/>
  <c r="P78" i="16"/>
  <c r="M61" i="16"/>
  <c r="E81" i="16"/>
  <c r="Y29" i="16"/>
  <c r="AB9" i="16"/>
  <c r="AF12" i="16"/>
  <c r="Q35" i="16"/>
  <c r="T15" i="16"/>
  <c r="N36" i="16"/>
  <c r="I69" i="16"/>
  <c r="Z41" i="16"/>
  <c r="C74" i="16"/>
  <c r="V14" i="16"/>
  <c r="AC30" i="16"/>
  <c r="Q75" i="16"/>
  <c r="F56" i="16"/>
  <c r="AE12" i="16"/>
  <c r="I31" i="16"/>
  <c r="M79" i="16"/>
  <c r="T27" i="16"/>
  <c r="AF14" i="16"/>
  <c r="U15" i="16"/>
  <c r="J47" i="16"/>
  <c r="G20" i="16"/>
  <c r="F38" i="16"/>
  <c r="AA8" i="16"/>
  <c r="K32" i="16"/>
  <c r="M71" i="16"/>
  <c r="D52" i="16"/>
  <c r="J56" i="16"/>
  <c r="N10" i="16"/>
  <c r="E52" i="16"/>
  <c r="N79" i="16"/>
  <c r="O19" i="16"/>
  <c r="Q11" i="16"/>
  <c r="W30" i="16"/>
  <c r="B38" i="16"/>
  <c r="C34" i="16"/>
  <c r="E15" i="16"/>
  <c r="P61" i="16"/>
  <c r="AA39" i="16"/>
  <c r="H9" i="16"/>
  <c r="H78" i="16"/>
  <c r="B61" i="16"/>
  <c r="K41" i="16"/>
  <c r="Q29" i="16"/>
  <c r="T9" i="16"/>
  <c r="N12" i="16"/>
  <c r="Y38" i="16"/>
  <c r="O15" i="16"/>
  <c r="W11" i="16"/>
  <c r="K56" i="16"/>
  <c r="C73" i="16"/>
  <c r="Q54" i="16"/>
  <c r="AC33" i="16"/>
  <c r="N77" i="16"/>
  <c r="I71" i="16"/>
  <c r="D49" i="16"/>
  <c r="V9" i="16"/>
  <c r="Q82" i="16"/>
  <c r="K72" i="16"/>
  <c r="Q18" i="16"/>
  <c r="I82" i="16"/>
  <c r="J16" i="16"/>
  <c r="C15" i="16"/>
  <c r="M57" i="16"/>
  <c r="L12" i="16"/>
  <c r="Q12" i="16"/>
  <c r="X41" i="16"/>
  <c r="H79" i="16"/>
  <c r="R12" i="16"/>
  <c r="AG19" i="16"/>
  <c r="AA26" i="16"/>
  <c r="AF27" i="16"/>
  <c r="D5" i="16"/>
  <c r="O27" i="16"/>
  <c r="Y20" i="16"/>
  <c r="H60" i="16"/>
  <c r="C82" i="16"/>
  <c r="U41" i="16"/>
  <c r="C58" i="16"/>
  <c r="X37" i="16"/>
  <c r="AD14" i="16"/>
  <c r="AB17" i="16"/>
  <c r="Z6" i="16"/>
  <c r="AF11" i="16"/>
  <c r="K58" i="16"/>
  <c r="J74" i="16"/>
  <c r="V11" i="16"/>
  <c r="H68" i="16"/>
  <c r="N76" i="16"/>
  <c r="G62" i="16"/>
  <c r="J57" i="16"/>
  <c r="K62" i="16"/>
  <c r="I26" i="16"/>
  <c r="J52" i="16"/>
  <c r="R26" i="16"/>
  <c r="H74" i="16"/>
  <c r="AG13" i="16"/>
  <c r="K80" i="16"/>
  <c r="E28" i="16"/>
  <c r="K16" i="16"/>
  <c r="AC15" i="16"/>
  <c r="M48" i="16"/>
  <c r="N27" i="16"/>
  <c r="Z26" i="16"/>
  <c r="E83" i="16"/>
  <c r="AC36" i="16"/>
  <c r="K75" i="16"/>
  <c r="P16" i="16"/>
  <c r="U14" i="16"/>
  <c r="E35" i="16"/>
  <c r="D35" i="16"/>
  <c r="G41" i="16"/>
  <c r="E10" i="16"/>
  <c r="V17" i="16"/>
  <c r="O56" i="16"/>
  <c r="C19" i="16"/>
  <c r="Z29" i="16"/>
  <c r="G73" i="16"/>
  <c r="L37" i="16"/>
  <c r="G12" i="16"/>
  <c r="W35" i="16"/>
  <c r="U30" i="16"/>
  <c r="R32" i="16"/>
  <c r="M73" i="16"/>
  <c r="M10" i="16"/>
  <c r="P39" i="16"/>
  <c r="Z19" i="16"/>
  <c r="J31" i="16"/>
  <c r="H53" i="16"/>
  <c r="B33" i="16"/>
  <c r="S9" i="16"/>
  <c r="P69" i="16"/>
  <c r="F47" i="16"/>
  <c r="S28" i="16"/>
  <c r="P71" i="16"/>
  <c r="N81" i="16"/>
  <c r="J27" i="16"/>
  <c r="T35" i="16"/>
  <c r="D6" i="16"/>
  <c r="AG37" i="16"/>
  <c r="D18" i="16"/>
  <c r="M72" i="16"/>
  <c r="I50" i="16"/>
  <c r="K30" i="16"/>
  <c r="J61" i="16"/>
  <c r="Q61" i="16"/>
  <c r="R39" i="16"/>
  <c r="L7" i="16"/>
  <c r="I53" i="16"/>
  <c r="AB41" i="16"/>
  <c r="AD6" i="16"/>
  <c r="J12" i="16"/>
  <c r="J18" i="16"/>
  <c r="F83" i="16"/>
  <c r="E18" i="16"/>
  <c r="E60" i="16"/>
  <c r="AE6" i="16"/>
  <c r="L30" i="16"/>
  <c r="M52" i="16"/>
  <c r="AF6" i="16"/>
  <c r="S39" i="16"/>
  <c r="V5" i="16"/>
  <c r="W19" i="16"/>
  <c r="L19" i="16"/>
  <c r="P33" i="16"/>
  <c r="Z13" i="16"/>
  <c r="P9" i="16"/>
  <c r="H39" i="16"/>
  <c r="R19" i="16"/>
  <c r="E30" i="16"/>
  <c r="P52" i="16"/>
  <c r="T32" i="16"/>
  <c r="K8" i="16"/>
  <c r="H47" i="16"/>
  <c r="B34" i="16"/>
  <c r="AG15" i="16"/>
  <c r="AA20" i="16"/>
  <c r="S10" i="16"/>
  <c r="AG29" i="16"/>
  <c r="D10" i="16"/>
  <c r="V13" i="16"/>
  <c r="Y35" i="16"/>
  <c r="AB15" i="16"/>
  <c r="U37" i="16"/>
  <c r="Q41" i="16"/>
  <c r="V26" i="16"/>
  <c r="N49" i="16"/>
  <c r="I33" i="16"/>
  <c r="E11" i="16"/>
  <c r="L31" i="16"/>
  <c r="B81" i="16"/>
  <c r="AD19" i="16"/>
  <c r="I29" i="16"/>
  <c r="E55" i="16"/>
  <c r="C75" i="16"/>
  <c r="D68" i="16"/>
  <c r="S19" i="16"/>
  <c r="W39" i="16"/>
  <c r="AE33" i="16"/>
  <c r="AE13" i="16"/>
  <c r="U16" i="16"/>
  <c r="S11" i="16"/>
  <c r="D39" i="16"/>
  <c r="B51" i="16"/>
  <c r="N55" i="16"/>
  <c r="K6" i="16"/>
  <c r="B18" i="16"/>
  <c r="I38" i="16"/>
  <c r="M69" i="16"/>
  <c r="AF31" i="16"/>
  <c r="H72" i="16"/>
  <c r="J82" i="16"/>
  <c r="AF18" i="16"/>
  <c r="J6" i="16"/>
  <c r="G80" i="16"/>
  <c r="F70" i="16"/>
  <c r="L76" i="16"/>
  <c r="D79" i="16"/>
  <c r="R5" i="16"/>
  <c r="B7" i="16"/>
  <c r="X17" i="16"/>
  <c r="D28" i="16"/>
  <c r="K54" i="16"/>
  <c r="C57" i="16"/>
  <c r="Q50" i="16"/>
  <c r="V30" i="16"/>
  <c r="L62" i="16"/>
  <c r="I62" i="16"/>
  <c r="AC39" i="16"/>
  <c r="T7" i="16"/>
  <c r="Q78" i="16"/>
  <c r="D61" i="16"/>
  <c r="K15" i="16"/>
  <c r="I74" i="16"/>
  <c r="Z12" i="16"/>
  <c r="F41" i="16"/>
  <c r="AA41" i="16"/>
  <c r="M70" i="16"/>
  <c r="AD11" i="16"/>
  <c r="L80" i="16"/>
  <c r="AA19" i="16"/>
  <c r="C12" i="16"/>
  <c r="AE30" i="16"/>
  <c r="S38" i="16"/>
  <c r="C35" i="16"/>
  <c r="W36" i="16"/>
  <c r="K74" i="16"/>
  <c r="V15" i="16"/>
  <c r="AD31" i="16"/>
  <c r="E75" i="16"/>
  <c r="H83" i="16"/>
  <c r="AG32" i="16"/>
  <c r="I36" i="16"/>
  <c r="G78" i="16"/>
  <c r="J50" i="16"/>
  <c r="S18" i="16"/>
  <c r="H29" i="16"/>
  <c r="R9" i="16"/>
  <c r="M68" i="16"/>
  <c r="AF34" i="16"/>
  <c r="J15" i="16"/>
  <c r="AD12" i="16"/>
  <c r="O83" i="16"/>
  <c r="E79" i="16"/>
  <c r="C40" i="16"/>
  <c r="Z7" i="16"/>
  <c r="Y6" i="16"/>
  <c r="P74" i="16"/>
  <c r="F55" i="16"/>
  <c r="I11" i="16"/>
  <c r="Y27" i="16"/>
  <c r="M78" i="16"/>
  <c r="X8" i="16"/>
  <c r="Q33" i="16"/>
  <c r="T13" i="16"/>
  <c r="J28" i="16"/>
  <c r="I56" i="16"/>
  <c r="AA34" i="16"/>
  <c r="C37" i="16"/>
  <c r="V6" i="16"/>
  <c r="V18" i="16"/>
  <c r="Q71" i="16"/>
  <c r="B50" i="16"/>
  <c r="AF9" i="16"/>
  <c r="I83" i="16"/>
  <c r="F73" i="16"/>
  <c r="AE18" i="16"/>
  <c r="I61" i="16"/>
  <c r="U13" i="16"/>
  <c r="F37" i="16"/>
  <c r="Z8" i="16"/>
  <c r="AA33" i="16"/>
  <c r="G61" i="16"/>
  <c r="N28" i="16"/>
  <c r="J5" i="16"/>
  <c r="O77" i="16"/>
  <c r="F49" i="16"/>
  <c r="AF17" i="16"/>
  <c r="AF28" i="16"/>
  <c r="L83" i="16"/>
  <c r="B60" i="16"/>
  <c r="G59" i="16"/>
  <c r="D47" i="16"/>
  <c r="AA28" i="16"/>
  <c r="R38" i="16"/>
  <c r="Z35" i="16"/>
  <c r="P53" i="16"/>
  <c r="M33" i="16"/>
  <c r="Y11" i="16"/>
  <c r="H70" i="16"/>
  <c r="D48" i="16"/>
  <c r="V31" i="16"/>
  <c r="P81" i="16"/>
  <c r="K71" i="16"/>
  <c r="P5" i="16"/>
  <c r="Y30" i="16"/>
  <c r="F7" i="16"/>
  <c r="E48" i="16"/>
  <c r="F14" i="16"/>
  <c r="C39" i="16"/>
  <c r="B79" i="16"/>
  <c r="P75" i="16"/>
  <c r="P83" i="16"/>
  <c r="X20" i="16"/>
  <c r="Q73" i="16"/>
  <c r="F68" i="16"/>
  <c r="E29" i="16"/>
  <c r="B47" i="16"/>
  <c r="AB20" i="16"/>
  <c r="AE17" i="16"/>
  <c r="G11" i="16"/>
  <c r="C17" i="16"/>
  <c r="F57" i="16"/>
  <c r="H7" i="16"/>
  <c r="C70" i="16"/>
  <c r="X35" i="16"/>
  <c r="Q49" i="16"/>
  <c r="AA30" i="16"/>
  <c r="Q76" i="16"/>
  <c r="E32" i="16"/>
  <c r="L81" i="16"/>
  <c r="O26" i="16"/>
  <c r="O30" i="16"/>
  <c r="F15" i="16"/>
  <c r="E13" i="16"/>
  <c r="X5" i="16"/>
  <c r="AD37" i="16"/>
  <c r="Q38" i="16"/>
  <c r="Q80" i="16"/>
  <c r="AG27" i="16"/>
  <c r="K79" i="16"/>
  <c r="C9" i="16"/>
  <c r="Y33" i="16"/>
  <c r="AB13" i="16"/>
  <c r="K29" i="16"/>
  <c r="Q39" i="16"/>
  <c r="T19" i="16"/>
  <c r="M38" i="16"/>
  <c r="I27" i="16"/>
  <c r="J83" i="16"/>
  <c r="Q14" i="16"/>
  <c r="R40" i="16"/>
  <c r="G9" i="16"/>
  <c r="J54" i="16"/>
  <c r="Z30" i="16"/>
  <c r="D54" i="16"/>
  <c r="J7" i="16"/>
  <c r="AD39" i="16"/>
  <c r="AD5" i="16"/>
  <c r="N20" i="16"/>
  <c r="E61" i="16"/>
  <c r="V12" i="16"/>
  <c r="M77" i="16"/>
  <c r="V38" i="16"/>
  <c r="F10" i="16"/>
  <c r="G51" i="16"/>
  <c r="G75" i="16"/>
  <c r="G36" i="16"/>
  <c r="G39" i="16"/>
  <c r="AE7" i="16"/>
  <c r="J76" i="16"/>
  <c r="O52" i="16"/>
  <c r="AD15" i="16"/>
  <c r="W9" i="16"/>
  <c r="G69" i="16"/>
  <c r="J32" i="16"/>
  <c r="H8" i="16"/>
  <c r="G32" i="16"/>
  <c r="J58" i="16"/>
  <c r="AA6" i="16"/>
  <c r="Y13" i="16"/>
  <c r="J38" i="16"/>
  <c r="P37" i="16"/>
  <c r="Z17" i="16"/>
  <c r="I19" i="16"/>
  <c r="H49" i="16"/>
  <c r="AA29" i="16"/>
  <c r="J72" i="16"/>
  <c r="P60" i="16"/>
  <c r="B39" i="16"/>
  <c r="R6" i="16"/>
  <c r="P59" i="16"/>
  <c r="B68" i="16"/>
  <c r="P7" i="16"/>
  <c r="F11" i="16"/>
  <c r="L48" i="16"/>
  <c r="AG35" i="16"/>
  <c r="D16" i="16"/>
  <c r="AC38" i="16"/>
  <c r="Y41" i="16"/>
  <c r="D27" i="16"/>
  <c r="D51" i="16"/>
  <c r="Q57" i="16"/>
  <c r="K36" i="16"/>
  <c r="L5" i="16"/>
  <c r="I49" i="16"/>
  <c r="AB34" i="16"/>
  <c r="G33" i="16"/>
  <c r="M51" i="16"/>
  <c r="N59" i="16"/>
  <c r="AE38" i="16"/>
  <c r="W7" i="16"/>
  <c r="F61" i="16"/>
  <c r="G52" i="16"/>
  <c r="P15" i="16"/>
  <c r="P8" i="16"/>
  <c r="N71" i="16"/>
  <c r="K53" i="16"/>
  <c r="I47" i="16"/>
  <c r="Q60" i="16"/>
  <c r="P12" i="16"/>
  <c r="P29" i="16"/>
  <c r="Z9" i="16"/>
  <c r="E72" i="16"/>
  <c r="H35" i="16"/>
  <c r="R15" i="16"/>
  <c r="S13" i="16"/>
  <c r="AF40" i="16"/>
  <c r="J26" i="16"/>
  <c r="T37" i="16"/>
  <c r="AF35" i="16"/>
  <c r="AE14" i="16"/>
  <c r="C52" i="16"/>
  <c r="H26" i="16"/>
  <c r="Q58" i="16"/>
  <c r="AC26" i="16"/>
  <c r="F9" i="16"/>
  <c r="H32" i="16"/>
  <c r="B56" i="16"/>
  <c r="W37" i="16"/>
  <c r="K60" i="16"/>
  <c r="AC35" i="16"/>
  <c r="D75" i="16"/>
  <c r="B35" i="16"/>
  <c r="D38" i="16"/>
  <c r="K77" i="16"/>
  <c r="L47" i="16"/>
  <c r="O11" i="16"/>
  <c r="AF41" i="16"/>
  <c r="L34" i="16"/>
  <c r="P28" i="16"/>
  <c r="AC29" i="16"/>
  <c r="H51" i="16"/>
  <c r="P76" i="16"/>
  <c r="U26" i="16"/>
  <c r="P68" i="16"/>
  <c r="B29" i="16"/>
  <c r="M20" i="16"/>
  <c r="G26" i="16"/>
  <c r="L17" i="16"/>
  <c r="K9" i="16"/>
  <c r="AC5" i="16"/>
  <c r="M11" i="16"/>
  <c r="H80" i="16"/>
  <c r="B16" i="16"/>
  <c r="Q27" i="16"/>
  <c r="P49" i="16"/>
  <c r="F30" i="16"/>
  <c r="D76" i="16"/>
  <c r="H61" i="16"/>
  <c r="M39" i="16"/>
  <c r="S7" i="16"/>
  <c r="P77" i="16"/>
  <c r="D60" i="16"/>
  <c r="AC34" i="16"/>
  <c r="Y26" i="16"/>
  <c r="N80" i="16"/>
  <c r="N69" i="16"/>
  <c r="L6" i="16"/>
  <c r="F18" i="16"/>
  <c r="Q83" i="16"/>
  <c r="D74" i="16"/>
  <c r="K19" i="16"/>
  <c r="I78" i="16"/>
  <c r="AC13" i="16"/>
  <c r="Z37" i="16"/>
  <c r="G10" i="16"/>
  <c r="U19" i="16"/>
  <c r="B73" i="16"/>
  <c r="P14" i="16"/>
  <c r="F59" i="16"/>
  <c r="Q8" i="16"/>
  <c r="B75" i="16"/>
  <c r="U20" i="16"/>
  <c r="D17" i="16"/>
  <c r="E74" i="16"/>
  <c r="V16" i="16"/>
  <c r="E8" i="16"/>
  <c r="AE28" i="16"/>
  <c r="N33" i="16"/>
  <c r="AB26" i="16"/>
  <c r="W34" i="16"/>
  <c r="E59" i="16"/>
  <c r="Q5" i="16"/>
  <c r="M26" i="16"/>
  <c r="F33" i="16"/>
  <c r="H69" i="16"/>
  <c r="AG28" i="16"/>
  <c r="I28" i="16"/>
  <c r="G74" i="16"/>
  <c r="U38" i="16"/>
  <c r="Q13" i="16"/>
  <c r="H27" i="16"/>
  <c r="L74" i="16"/>
  <c r="N37" i="16"/>
  <c r="AF32" i="16"/>
  <c r="J13" i="16"/>
  <c r="U8" i="16"/>
  <c r="O76" i="16"/>
  <c r="E56" i="16"/>
  <c r="N13" i="16"/>
  <c r="I6" i="16"/>
  <c r="AD26" i="16"/>
  <c r="P70" i="16"/>
  <c r="B49" i="16"/>
  <c r="V35" i="16"/>
  <c r="H82" i="16"/>
  <c r="F72" i="16"/>
  <c r="Z5" i="16"/>
  <c r="Q31" i="16"/>
  <c r="T11" i="16"/>
  <c r="Q17" i="16"/>
  <c r="I48" i="16"/>
  <c r="AG20" i="16"/>
  <c r="C50" i="16"/>
  <c r="F8" i="16"/>
  <c r="AB33" i="16"/>
  <c r="J73" i="16"/>
  <c r="H16" i="16"/>
  <c r="Y7" i="16"/>
  <c r="W28" i="16"/>
  <c r="AB32" i="16"/>
  <c r="F26" i="16"/>
  <c r="M12" i="16"/>
  <c r="L58" i="16"/>
  <c r="H38" i="16"/>
  <c r="H58" i="16"/>
  <c r="AF39" i="16"/>
  <c r="G53" i="16"/>
  <c r="I16" i="16"/>
  <c r="AA10" i="16"/>
  <c r="O69" i="16"/>
  <c r="AC32" i="16"/>
  <c r="S8" i="16"/>
  <c r="G81" i="16"/>
  <c r="E58" i="16"/>
  <c r="C28" i="16"/>
  <c r="AE41" i="16"/>
  <c r="K14" i="16"/>
  <c r="Z31" i="16"/>
  <c r="AB27" i="16"/>
  <c r="D37" i="16"/>
  <c r="F13" i="16"/>
  <c r="AD20" i="16"/>
  <c r="G38" i="16"/>
  <c r="O75" i="16"/>
  <c r="R37" i="16"/>
  <c r="K82" i="16"/>
  <c r="D56" i="16"/>
  <c r="AF5" i="16"/>
  <c r="AA36" i="16"/>
  <c r="H30" i="16"/>
  <c r="K57" i="16"/>
  <c r="V41" i="16"/>
  <c r="H19" i="16"/>
  <c r="F20" i="16"/>
  <c r="L8" i="16"/>
  <c r="AG31" i="16"/>
  <c r="C60" i="16"/>
  <c r="C78" i="16"/>
  <c r="X28" i="16"/>
  <c r="C8" i="16"/>
  <c r="O31" i="16"/>
  <c r="E51" i="16"/>
  <c r="R31" i="16"/>
  <c r="C33" i="16"/>
  <c r="T30" i="16"/>
  <c r="AC6" i="16"/>
  <c r="K68" i="16"/>
  <c r="I7" i="16"/>
  <c r="E73" i="16"/>
  <c r="E31" i="16"/>
  <c r="B78" i="16"/>
  <c r="H33" i="16"/>
  <c r="S26" i="16"/>
  <c r="T5" i="16"/>
  <c r="M41" i="16"/>
  <c r="N54" i="16"/>
  <c r="G37" i="16"/>
  <c r="D71" i="16"/>
  <c r="G14" i="16"/>
  <c r="AD40" i="16"/>
  <c r="B77" i="16"/>
  <c r="D34" i="16"/>
  <c r="AD41" i="16"/>
  <c r="M17" i="16"/>
  <c r="H36" i="16"/>
  <c r="G58" i="16"/>
  <c r="J53" i="16"/>
  <c r="C11" i="16"/>
  <c r="U10" i="16"/>
  <c r="M49" i="16"/>
  <c r="F79" i="16"/>
  <c r="L49" i="16"/>
  <c r="H56" i="16"/>
  <c r="N53" i="16"/>
  <c r="G55" i="16"/>
  <c r="N32" i="16"/>
  <c r="O12" i="16"/>
  <c r="J39" i="16"/>
  <c r="V40" i="16"/>
  <c r="G15" i="16"/>
  <c r="O32" i="16"/>
  <c r="R17" i="16"/>
  <c r="M9" i="16"/>
  <c r="Q77" i="16"/>
  <c r="AA37" i="16"/>
  <c r="V39" i="16"/>
  <c r="Y14" i="16"/>
  <c r="P50" i="16"/>
  <c r="R36" i="16"/>
  <c r="O49" i="16"/>
  <c r="G16" i="16"/>
  <c r="I15" i="16"/>
  <c r="F34" i="16"/>
  <c r="D29" i="16"/>
  <c r="AF13" i="16"/>
  <c r="L11" i="16"/>
  <c r="Q30" i="16"/>
  <c r="AF26" i="16"/>
  <c r="U33" i="16"/>
  <c r="Q47" i="16"/>
  <c r="K61" i="16"/>
  <c r="T39" i="16"/>
  <c r="D78" i="16"/>
  <c r="L68" i="16"/>
  <c r="K35" i="16"/>
  <c r="B54" i="16"/>
  <c r="M8" i="16"/>
  <c r="G8" i="16"/>
  <c r="E70" i="16"/>
  <c r="Z10" i="16"/>
  <c r="H20" i="16"/>
  <c r="Q16" i="16"/>
  <c r="V27" i="16"/>
  <c r="Z14" i="16"/>
  <c r="P38" i="16"/>
  <c r="S36" i="16"/>
  <c r="G68" i="16"/>
  <c r="C36" i="16"/>
  <c r="D57" i="16"/>
  <c r="U9" i="16"/>
  <c r="B53" i="16"/>
  <c r="U5" i="16"/>
  <c r="C41" i="16"/>
  <c r="J62" i="16"/>
  <c r="L78" i="16"/>
  <c r="O37" i="16"/>
  <c r="J33" i="16"/>
  <c r="N78" i="16"/>
  <c r="O50" i="16"/>
  <c r="P36" i="16"/>
  <c r="Q59" i="16"/>
  <c r="I81" i="16"/>
  <c r="T8" i="16"/>
  <c r="J78" i="16"/>
  <c r="D53" i="16"/>
  <c r="N6" i="16"/>
  <c r="C72" i="16"/>
  <c r="C55" i="16"/>
  <c r="N26" i="16"/>
  <c r="L71" i="16"/>
  <c r="I8" i="16"/>
  <c r="L32" i="16"/>
  <c r="O79" i="16"/>
  <c r="H15" i="16"/>
  <c r="Q26" i="16"/>
  <c r="AB8" i="16"/>
  <c r="N47" i="16"/>
  <c r="AE19" i="16"/>
  <c r="X36" i="16"/>
  <c r="AE35" i="16"/>
  <c r="K12" i="16"/>
  <c r="Z38" i="16"/>
  <c r="K83" i="16"/>
  <c r="U28" i="16"/>
  <c r="Q52" i="16"/>
  <c r="F52" i="16"/>
  <c r="R13" i="16"/>
  <c r="C7" i="16"/>
  <c r="Q74" i="16"/>
  <c r="N52" i="16"/>
  <c r="X9" i="16"/>
  <c r="C77" i="16"/>
  <c r="O29" i="16"/>
  <c r="H41" i="16"/>
  <c r="E16" i="16"/>
  <c r="S14" i="16"/>
  <c r="B28" i="16"/>
  <c r="Q15" i="16"/>
  <c r="N56" i="16"/>
  <c r="C69" i="16"/>
  <c r="L26" i="16"/>
  <c r="C5" i="16"/>
  <c r="J81" i="16"/>
  <c r="P47" i="16"/>
  <c r="E68" i="16"/>
  <c r="F58" i="16"/>
  <c r="B55" i="16"/>
  <c r="O74" i="16"/>
  <c r="E47" i="16"/>
  <c r="J60" i="16"/>
  <c r="M34" i="16"/>
  <c r="P26" i="16"/>
  <c r="I12" i="16"/>
  <c r="Y32" i="16"/>
  <c r="N38" i="16"/>
  <c r="S41" i="16"/>
  <c r="X18" i="16"/>
  <c r="S35" i="16"/>
  <c r="X39" i="16"/>
  <c r="J41" i="16"/>
  <c r="C47" i="16"/>
  <c r="L27" i="16"/>
  <c r="O62" i="16"/>
  <c r="E76" i="16"/>
  <c r="L51" i="16"/>
  <c r="N17" i="16"/>
  <c r="O59" i="16"/>
  <c r="AB16" i="16"/>
  <c r="X14" i="16"/>
  <c r="K11" i="16"/>
  <c r="AF19" i="16"/>
  <c r="O20" i="16"/>
  <c r="K73" i="16"/>
  <c r="AC41" i="16"/>
  <c r="H52" i="16"/>
  <c r="D32" i="16"/>
  <c r="H28" i="16"/>
  <c r="P17" i="16"/>
  <c r="D82" i="16"/>
  <c r="K20" i="16"/>
  <c r="F80" i="16"/>
  <c r="O18" i="16"/>
  <c r="H5" i="16"/>
  <c r="I13" i="16"/>
  <c r="W13" i="16"/>
  <c r="E36" i="16"/>
  <c r="L40" i="16"/>
  <c r="AF15" i="16"/>
  <c r="H11" i="16"/>
  <c r="O51" i="16"/>
  <c r="X34" i="16"/>
  <c r="B83" i="16"/>
  <c r="AA18" i="16"/>
  <c r="D81" i="16"/>
  <c r="F19" i="16"/>
  <c r="E77" i="16"/>
  <c r="H55" i="16"/>
  <c r="N51" i="16"/>
  <c r="AF10" i="16"/>
  <c r="AG30" i="16"/>
  <c r="M7" i="16"/>
  <c r="G30" i="16"/>
  <c r="B20" i="16"/>
  <c r="AA11" i="16"/>
  <c r="P80" i="16"/>
  <c r="U36" i="16"/>
  <c r="G17" i="16"/>
  <c r="B74" i="16"/>
  <c r="H73" i="16"/>
  <c r="P11" i="16"/>
  <c r="P20" i="16"/>
  <c r="G13" i="16"/>
  <c r="D83" i="16"/>
  <c r="Z34" i="16"/>
  <c r="C27" i="16"/>
  <c r="V36" i="16"/>
  <c r="O14" i="16"/>
  <c r="V32" i="16"/>
  <c r="J30" i="16"/>
  <c r="AC12" i="16"/>
  <c r="Y40" i="16"/>
  <c r="N70" i="16"/>
  <c r="E34" i="16"/>
  <c r="L33" i="16"/>
  <c r="Z32" i="16"/>
  <c r="R29" i="16"/>
  <c r="L13" i="16"/>
  <c r="B32" i="16"/>
  <c r="B9" i="16"/>
  <c r="G5" i="16"/>
  <c r="M54" i="16"/>
  <c r="S27" i="16"/>
  <c r="L41" i="16"/>
  <c r="Q19" i="16"/>
  <c r="D80" i="16"/>
  <c r="T26" i="16"/>
  <c r="D50" i="16"/>
  <c r="T16" i="16"/>
  <c r="AE34" i="16"/>
  <c r="I34" i="16"/>
  <c r="AG26" i="16"/>
  <c r="D9" i="16"/>
  <c r="AE10" i="16"/>
  <c r="T38" i="16"/>
  <c r="P6" i="16"/>
  <c r="Q68" i="16"/>
  <c r="AG14" i="16"/>
  <c r="Y19" i="16"/>
  <c r="N50" i="16"/>
  <c r="W27" i="16"/>
  <c r="R28" i="16"/>
  <c r="F81" i="16"/>
  <c r="N18" i="16"/>
  <c r="J10" i="16"/>
  <c r="M82" i="16"/>
  <c r="B71" i="16"/>
  <c r="AC19" i="16"/>
  <c r="F82" i="16"/>
  <c r="P48" i="16"/>
  <c r="G6" i="16"/>
  <c r="Q55" i="16"/>
  <c r="L75" i="16"/>
  <c r="Y12" i="16"/>
  <c r="L28" i="16"/>
  <c r="J77" i="16"/>
  <c r="L82" i="16"/>
  <c r="D70" i="16"/>
  <c r="E62" i="16"/>
  <c r="L70" i="16"/>
  <c r="R8" i="16"/>
  <c r="P10" i="16"/>
  <c r="O58" i="16"/>
  <c r="O36" i="16"/>
  <c r="G57" i="16"/>
  <c r="J36" i="16"/>
  <c r="K18" i="16"/>
  <c r="O70" i="16"/>
  <c r="H76" i="16"/>
  <c r="S29" i="16"/>
  <c r="K31" i="16"/>
  <c r="AB14" i="16"/>
  <c r="W5" i="16"/>
  <c r="J14" i="16"/>
  <c r="I32" i="16"/>
  <c r="N7" i="16"/>
  <c r="N19" i="16"/>
  <c r="N73" i="16"/>
  <c r="G79" i="16"/>
  <c r="F6" i="16"/>
  <c r="K76" i="16"/>
  <c r="L38" i="16"/>
  <c r="E57" i="16"/>
  <c r="E41" i="16"/>
  <c r="B26" i="16"/>
  <c r="V33" i="16"/>
  <c r="R14" i="16"/>
  <c r="Q72" i="16"/>
  <c r="E54" i="16"/>
  <c r="M16" i="16"/>
  <c r="L20" i="16"/>
  <c r="E14" i="16"/>
  <c r="K59" i="16"/>
  <c r="M19" i="16"/>
  <c r="R30" i="16"/>
  <c r="E9" i="16"/>
  <c r="R41" i="16"/>
  <c r="P62" i="16"/>
  <c r="AE8" i="16"/>
  <c r="AE11" i="16"/>
  <c r="B58" i="16"/>
  <c r="N35" i="16"/>
  <c r="W10" i="16"/>
  <c r="AG11" i="16"/>
  <c r="T10" i="16"/>
  <c r="E39" i="16"/>
  <c r="AF38" i="16"/>
  <c r="AG41" i="16"/>
  <c r="F12" i="16"/>
  <c r="N40" i="16"/>
  <c r="K34" i="16"/>
  <c r="O48" i="16"/>
  <c r="I76" i="16"/>
  <c r="AB38" i="16"/>
  <c r="S30" i="16"/>
  <c r="AG6" i="16"/>
  <c r="L60" i="16"/>
  <c r="AG40" i="16"/>
  <c r="K78" i="16"/>
  <c r="N11" i="16"/>
  <c r="B41" i="16"/>
  <c r="AF8" i="16"/>
  <c r="G34" i="16"/>
  <c r="H71" i="16"/>
  <c r="G7" i="16"/>
  <c r="X40" i="16"/>
  <c r="B14" i="16"/>
  <c r="AC16" i="16"/>
  <c r="C14" i="16"/>
  <c r="T14" i="16"/>
  <c r="N74" i="16"/>
  <c r="AD27" i="16"/>
  <c r="AG38" i="16"/>
  <c r="AA16" i="16"/>
  <c r="Y15" i="16"/>
  <c r="M37" i="16"/>
  <c r="M29" i="16"/>
  <c r="J69" i="16"/>
  <c r="H59" i="16"/>
  <c r="AA14" i="16"/>
  <c r="P34" i="16"/>
  <c r="C53" i="16"/>
  <c r="M13" i="16"/>
  <c r="M6" i="16"/>
  <c r="D11" i="16"/>
  <c r="B36" i="16"/>
  <c r="F51" i="16"/>
  <c r="K27" i="16"/>
  <c r="T28" i="16"/>
  <c r="AA27" i="16"/>
  <c r="K70" i="16"/>
  <c r="P19" i="16"/>
  <c r="O53" i="16"/>
  <c r="X33" i="16"/>
  <c r="E82" i="16"/>
  <c r="G28" i="16"/>
  <c r="B57" i="16"/>
  <c r="E71" i="16"/>
  <c r="Z20" i="16"/>
  <c r="C20" i="16"/>
  <c r="W8" i="16"/>
  <c r="L59" i="16"/>
  <c r="B76" i="16"/>
  <c r="B6" i="16"/>
  <c r="M15" i="16"/>
  <c r="P51" i="16"/>
  <c r="AF20" i="16"/>
  <c r="N14" i="16"/>
  <c r="M81" i="16"/>
  <c r="M75" i="16"/>
  <c r="N83" i="16"/>
  <c r="M47" i="16"/>
  <c r="L14" i="16"/>
  <c r="N82" i="16"/>
  <c r="T40" i="16"/>
  <c r="H54" i="16"/>
  <c r="AE9" i="16"/>
  <c r="J35" i="16"/>
  <c r="S40" i="16"/>
  <c r="D8" i="16"/>
  <c r="AC27" i="16"/>
  <c r="H10" i="16"/>
  <c r="Q81" i="16"/>
  <c r="B5" i="16"/>
  <c r="B11" i="16"/>
  <c r="J19" i="16"/>
  <c r="R27" i="16"/>
  <c r="I70" i="16"/>
  <c r="K48" i="16"/>
  <c r="N41" i="16"/>
  <c r="W12" i="16"/>
  <c r="AA5" i="16"/>
  <c r="P56" i="16"/>
  <c r="E27" i="16"/>
  <c r="C54" i="16"/>
  <c r="Q6" i="16"/>
  <c r="AB5" i="16"/>
  <c r="Q51" i="16"/>
  <c r="D12" i="16"/>
  <c r="V19" i="16"/>
  <c r="P57" i="16"/>
  <c r="N34" i="16"/>
  <c r="G83" i="16"/>
  <c r="W15" i="16"/>
  <c r="E78" i="16"/>
  <c r="AE16" i="16"/>
  <c r="D26" i="16"/>
  <c r="P18" i="16"/>
  <c r="R20" i="16"/>
  <c r="G18" i="16"/>
  <c r="K49" i="16"/>
  <c r="C71" i="16"/>
  <c r="D41" i="16"/>
  <c r="AA9" i="16"/>
  <c r="P31" i="16"/>
  <c r="N68" i="16"/>
  <c r="O16" i="16"/>
  <c r="G76" i="16"/>
  <c r="I68" i="16"/>
  <c r="E53" i="16"/>
  <c r="B59" i="16"/>
  <c r="L18" i="16"/>
  <c r="AC9" i="16"/>
  <c r="B17" i="16"/>
  <c r="I72" i="16"/>
  <c r="AC18" i="16"/>
  <c r="R16" i="16"/>
  <c r="M32" i="16"/>
  <c r="T12" i="16"/>
  <c r="P72" i="16"/>
  <c r="AA32" i="16"/>
  <c r="V37" i="16"/>
  <c r="J70" i="16"/>
  <c r="AC14" i="16"/>
  <c r="AB18" i="16"/>
  <c r="AB39" i="16"/>
  <c r="G54" i="16"/>
  <c r="I18" i="16"/>
  <c r="Q28" i="16"/>
  <c r="F5" i="16"/>
  <c r="R10" i="16"/>
  <c r="AF7" i="16"/>
  <c r="G50" i="16"/>
  <c r="F77" i="16"/>
  <c r="L29" i="16"/>
  <c r="C62" i="16"/>
  <c r="L56" i="16"/>
  <c r="J68" i="16"/>
  <c r="AB12" i="16"/>
  <c r="D58" i="16"/>
  <c r="E5" i="16"/>
  <c r="Y28" i="16"/>
  <c r="N5" i="16"/>
  <c r="X27" i="16"/>
  <c r="F74" i="16"/>
  <c r="F54" i="16"/>
  <c r="Z15" i="16"/>
  <c r="J8" i="16"/>
  <c r="AB28" i="16"/>
  <c r="K28" i="16"/>
  <c r="K17" i="16"/>
  <c r="W14" i="16"/>
  <c r="Q10" i="16"/>
  <c r="W26" i="16"/>
  <c r="F71" i="16"/>
  <c r="Y16" i="16"/>
  <c r="P27" i="16"/>
  <c r="J29" i="16"/>
  <c r="K52" i="16"/>
  <c r="B10" i="16"/>
  <c r="Z36" i="16"/>
  <c r="AE37" i="16"/>
  <c r="L39" i="16"/>
  <c r="X12" i="16"/>
  <c r="AA35" i="16"/>
  <c r="Z39" i="16"/>
  <c r="AE27" i="16"/>
  <c r="W40" i="16"/>
  <c r="B19" i="16"/>
  <c r="U29" i="16"/>
  <c r="I35" i="16"/>
  <c r="V29" i="16"/>
  <c r="AB37" i="16"/>
  <c r="I59" i="16"/>
  <c r="AE31" i="16"/>
  <c r="O41" i="16"/>
  <c r="D15" i="16"/>
  <c r="U34" i="16"/>
  <c r="M35" i="16"/>
  <c r="AB40" i="16"/>
  <c r="AD17" i="16"/>
  <c r="O47" i="16"/>
  <c r="J40" i="16"/>
  <c r="W20" i="16"/>
  <c r="X6" i="16"/>
  <c r="M40" i="16"/>
  <c r="Z11" i="16"/>
  <c r="X38" i="16"/>
  <c r="H62" i="16"/>
  <c r="O28" i="16"/>
  <c r="O34" i="16"/>
  <c r="B82" i="16"/>
  <c r="C31" i="16"/>
  <c r="B31" i="16"/>
  <c r="AG7" i="16"/>
  <c r="P13" i="16"/>
  <c r="O33" i="16"/>
  <c r="B30" i="16"/>
  <c r="AC40" i="16"/>
  <c r="G31" i="16"/>
  <c r="O80" i="16"/>
  <c r="D7" i="16"/>
  <c r="O73" i="16"/>
  <c r="AF16" i="16"/>
  <c r="M5" i="16"/>
  <c r="D19" i="16"/>
  <c r="I20" i="16"/>
  <c r="C80" i="16"/>
  <c r="Y36" i="16"/>
  <c r="AA13" i="16"/>
  <c r="AF33" i="16"/>
  <c r="X11" i="16"/>
  <c r="AD34" i="16"/>
  <c r="T18" i="16"/>
  <c r="AD8" i="16"/>
  <c r="L61" i="16"/>
  <c r="AD13" i="16"/>
  <c r="AG12" i="16"/>
  <c r="I55" i="16"/>
  <c r="AG34" i="16"/>
  <c r="Z18" i="16"/>
  <c r="N72" i="16"/>
  <c r="G19" i="16"/>
  <c r="H34" i="16"/>
  <c r="K13" i="16"/>
  <c r="W33" i="16"/>
  <c r="S6" i="16"/>
  <c r="H6" i="16"/>
  <c r="S32" i="16"/>
  <c r="E33" i="16"/>
  <c r="W41" i="16"/>
  <c r="S34" i="16"/>
  <c r="O5" i="16"/>
  <c r="B72" i="16"/>
  <c r="H13" i="16"/>
  <c r="B12" i="16"/>
  <c r="X30" i="16"/>
  <c r="C16" i="16"/>
  <c r="Q48" i="16"/>
  <c r="V10" i="16"/>
  <c r="AE29" i="16"/>
  <c r="L36" i="16"/>
  <c r="AD35" i="16"/>
  <c r="F76" i="16"/>
  <c r="I52" i="16"/>
  <c r="E17" i="16"/>
  <c r="M59" i="16"/>
  <c r="H18" i="16"/>
  <c r="AB36" i="16"/>
  <c r="AF29" i="16"/>
  <c r="O55" i="16"/>
  <c r="P30" i="16"/>
  <c r="Q34" i="16"/>
  <c r="R35" i="16"/>
  <c r="L35" i="16"/>
  <c r="B69" i="16"/>
  <c r="C76" i="16"/>
  <c r="P32" i="16"/>
  <c r="I58" i="16"/>
  <c r="V20" i="16"/>
  <c r="F78" i="16"/>
  <c r="O57" i="16"/>
  <c r="G60" i="16"/>
  <c r="P35" i="16"/>
  <c r="N31" i="16"/>
  <c r="E38" i="16"/>
  <c r="E19" i="16"/>
  <c r="O9" i="16"/>
  <c r="F69" i="16"/>
  <c r="T20" i="16"/>
  <c r="I80" i="16"/>
  <c r="G72" i="16"/>
  <c r="I9" i="16"/>
  <c r="D72" i="16"/>
  <c r="E26" i="16"/>
  <c r="M58" i="16"/>
  <c r="I14" i="16"/>
  <c r="X32" i="16"/>
  <c r="K39" i="16"/>
  <c r="Q36" i="16"/>
  <c r="H12" i="16"/>
  <c r="F40" i="16"/>
  <c r="U12" i="16"/>
  <c r="O10" i="16"/>
  <c r="C29" i="16"/>
  <c r="B40" i="16"/>
  <c r="O6" i="16"/>
  <c r="Q20" i="16"/>
  <c r="D36" i="16"/>
  <c r="M18" i="16"/>
  <c r="AC37" i="16"/>
  <c r="L79" i="16"/>
  <c r="O78" i="16"/>
  <c r="M30" i="16"/>
  <c r="Q32" i="16"/>
  <c r="V8" i="16"/>
  <c r="J20" i="16"/>
  <c r="AD16" i="16"/>
  <c r="O39" i="16"/>
  <c r="S17" i="16"/>
  <c r="H48" i="16"/>
  <c r="Q7" i="16"/>
  <c r="C38" i="16"/>
  <c r="W6" i="16"/>
  <c r="Q69" i="16"/>
  <c r="F32" i="16"/>
  <c r="X19" i="16"/>
  <c r="E80" i="16"/>
  <c r="P40" i="16"/>
  <c r="N29" i="16"/>
  <c r="AE39" i="16"/>
  <c r="Q9" i="16"/>
  <c r="D59" i="16"/>
  <c r="O71" i="16"/>
  <c r="AD36" i="16"/>
  <c r="S15" i="16"/>
  <c r="D69" i="16"/>
  <c r="K81" i="16"/>
  <c r="D62" i="16"/>
  <c r="G47" i="16"/>
  <c r="Y10" i="16"/>
  <c r="N15" i="16"/>
  <c r="X26" i="16"/>
  <c r="G40" i="16"/>
  <c r="AG9" i="16"/>
  <c r="Z28" i="16"/>
  <c r="D40" i="16"/>
  <c r="N58" i="16"/>
  <c r="AG16" i="16"/>
  <c r="D13" i="16"/>
  <c r="N39" i="16"/>
  <c r="B70" i="16"/>
  <c r="D31" i="16"/>
  <c r="AG5" i="16"/>
  <c r="J80" i="16"/>
  <c r="Q56" i="16"/>
  <c r="C48" i="16"/>
  <c r="AA38" i="16"/>
  <c r="AA31" i="16"/>
  <c r="F27" i="16"/>
  <c r="G29" i="16"/>
  <c r="O35" i="16"/>
  <c r="C81" i="16"/>
  <c r="H40" i="16"/>
  <c r="H37" i="16"/>
  <c r="J71" i="16"/>
  <c r="B13" i="16"/>
  <c r="AA12" i="16"/>
  <c r="I40" i="16"/>
  <c r="L16" i="16"/>
  <c r="T6" i="16"/>
  <c r="AG10" i="16"/>
  <c r="O61" i="16"/>
  <c r="E50" i="16"/>
  <c r="F52" i="20" l="1"/>
  <c r="Q181" i="18"/>
  <c r="F37" i="20"/>
  <c r="Q166" i="18"/>
  <c r="G109" i="19"/>
  <c r="R211" i="17"/>
  <c r="P43" i="20"/>
  <c r="S43" i="20" s="1"/>
  <c r="Q388" i="18"/>
  <c r="O50" i="20"/>
  <c r="Q455" i="18"/>
  <c r="Q427" i="17"/>
  <c r="N51" i="19"/>
  <c r="M41" i="19"/>
  <c r="R42" i="20" s="1"/>
  <c r="Q232" i="17"/>
  <c r="Q195" i="17"/>
  <c r="G35" i="19"/>
  <c r="J37" i="19"/>
  <c r="Q290" i="17"/>
  <c r="D51" i="20"/>
  <c r="Q118" i="18"/>
  <c r="C51" i="20"/>
  <c r="Q88" i="18"/>
  <c r="D43" i="20"/>
  <c r="Q110" i="18"/>
  <c r="N52" i="20"/>
  <c r="Q427" i="18"/>
  <c r="F46" i="20"/>
  <c r="Q175" i="18"/>
  <c r="E109" i="19"/>
  <c r="R150" i="17"/>
  <c r="H42" i="20"/>
  <c r="Q42" i="20" s="1"/>
  <c r="Q16" i="18"/>
  <c r="F99" i="19"/>
  <c r="R171" i="17"/>
  <c r="Q206" i="18"/>
  <c r="R59" i="18"/>
  <c r="Q170" i="17"/>
  <c r="Q233" i="18"/>
  <c r="Q423" i="17"/>
  <c r="R201" i="17"/>
  <c r="R167" i="17"/>
  <c r="Q169" i="17"/>
  <c r="Q26" i="17"/>
  <c r="R27" i="18"/>
  <c r="Q169" i="18"/>
  <c r="Q84" i="17"/>
  <c r="E110" i="19"/>
  <c r="R118" i="18"/>
  <c r="Q46" i="20"/>
  <c r="Q47" i="20"/>
  <c r="S52" i="20"/>
  <c r="Q53" i="20"/>
  <c r="Q36" i="20"/>
  <c r="Q5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D91782EB-1714-4237-92C0-A75075F127C8}">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28" authorId="0" shapeId="0" xr:uid="{9F2E64F2-F0A3-463D-AA6F-99BD8C64E057}">
      <text>
        <r>
          <rPr>
            <b/>
            <sz val="9"/>
            <color indexed="81"/>
            <rFont val="Tahoma"/>
            <family val="2"/>
          </rPr>
          <t>jmarks:</t>
        </r>
        <r>
          <rPr>
            <sz val="9"/>
            <color indexed="81"/>
            <rFont val="Tahoma"/>
            <family val="2"/>
          </rPr>
          <t xml:space="preserve">
Note will need to be revised as there are more "15s" now.</t>
        </r>
      </text>
    </comment>
    <comment ref="I28" authorId="0" shapeId="0" xr:uid="{0573C912-C99C-4E85-A7D3-2C09124D3902}">
      <text>
        <r>
          <rPr>
            <b/>
            <sz val="9"/>
            <color indexed="81"/>
            <rFont val="Tahoma"/>
            <family val="2"/>
          </rPr>
          <t>jmarks:</t>
        </r>
        <r>
          <rPr>
            <sz val="9"/>
            <color indexed="81"/>
            <rFont val="Tahoma"/>
            <family val="2"/>
          </rPr>
          <t xml:space="preserve">
Note will need to be revised as there are more "15s" now.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A2369B22-C1D0-4723-A019-7E4FE2813C5E}">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A28" authorId="0" shapeId="0" xr:uid="{D8D296EC-A05F-4ECF-8B24-D314505D0BBB}">
      <text>
        <r>
          <rPr>
            <b/>
            <sz val="9"/>
            <color indexed="81"/>
            <rFont val="Tahoma"/>
            <family val="2"/>
          </rPr>
          <t>jmarks:</t>
        </r>
        <r>
          <rPr>
            <sz val="9"/>
            <color indexed="81"/>
            <rFont val="Tahoma"/>
            <family val="2"/>
          </rPr>
          <t xml:space="preserve">
Note will need to be revised as there are more "15s" now.</t>
        </r>
      </text>
    </comment>
    <comment ref="I28" authorId="0" shapeId="0" xr:uid="{FE635E3B-9552-4D3B-A9F8-EA5B79FF43B3}">
      <text>
        <r>
          <rPr>
            <b/>
            <sz val="9"/>
            <color indexed="81"/>
            <rFont val="Tahoma"/>
            <family val="2"/>
          </rPr>
          <t>jmarks:</t>
        </r>
        <r>
          <rPr>
            <sz val="9"/>
            <color indexed="81"/>
            <rFont val="Tahoma"/>
            <family val="2"/>
          </rPr>
          <t xml:space="preserve">
Note will need to be revised as there are more "15s" now.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mloverde</author>
    <author>Diane E. Marian</author>
  </authors>
  <commentList>
    <comment ref="F2" authorId="0" shapeId="0" xr:uid="{01FA2201-9D42-4850-AF6E-8BD10CE1BBF7}">
      <text>
        <r>
          <rPr>
            <b/>
            <sz val="11"/>
            <color rgb="FF000000"/>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 ref="B285" authorId="1" shapeId="0" xr:uid="{82425E5A-181D-494A-A0E9-EFF47FD0633A}">
      <text>
        <r>
          <rPr>
            <b/>
            <sz val="9"/>
            <color rgb="FF000000"/>
            <rFont val="Tahoma"/>
            <family val="2"/>
          </rPr>
          <t>Diane E. Marian: We added UNC School of the Arts, a category 15 institution to this form this year. We were unable to add a row at the bottom of the table, so we inserted a row above the last row. Therefore the order of institutions has changed. We can't fix that since it is a protected worksheet.</t>
        </r>
        <r>
          <rPr>
            <sz val="9"/>
            <color rgb="FF000000"/>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ype10ug5" type="6" refreshedVersion="3" background="1" saveData="1">
    <textPr codePage="437" sourceFile="\\THECB-AUVFS41\UserDoc$\MeadDD\My Documents\My SAS Files\SREB\QWK03864\Page5\Type10ug5.txt">
      <textFields>
        <textField/>
      </textFields>
    </textPr>
  </connection>
  <connection id="2" xr16:uid="{00000000-0015-0000-FFFF-FFFF01000000}" name="Type11gr1" type="6" refreshedVersion="4" background="1" saveData="1">
    <textPr codePage="437" sourceFile="\\THECB-AUVFS41\UserDoc$\MeadDD\My Documents\My SAS Files\SREB\QWK04245\Page5\Type11gr1.txt">
      <textFields>
        <textField/>
      </textFields>
    </textPr>
  </connection>
  <connection id="3" xr16:uid="{00000000-0015-0000-FFFF-FFFF02000000}" name="Type11gr2" type="6" refreshedVersion="4" background="1" saveData="1">
    <textPr codePage="437" sourceFile="\\THECB-AUVFS41\UserDoc$\MeadDD\My Documents\My SAS Files\SREB\QWK04245\Page5\Type11gr2.txt">
      <textFields>
        <textField/>
      </textFields>
    </textPr>
  </connection>
  <connection id="4" xr16:uid="{00000000-0015-0000-FFFF-FFFF03000000}" name="Type11gr3" type="6" refreshedVersion="4" background="1" saveData="1">
    <textPr codePage="437" sourceFile="\\THECB-AUVFS41\UserDoc$\MeadDD\My Documents\My SAS Files\SREB\QWK04245\Page5\Type11gr3.txt">
      <textFields>
        <textField/>
      </textFields>
    </textPr>
  </connection>
  <connection id="5" xr16:uid="{00000000-0015-0000-FFFF-FFFF04000000}" name="Type11gr4" type="6" refreshedVersion="4" background="1" saveData="1">
    <textPr codePage="437" sourceFile="\\THECB-AUVFS41\UserDoc$\MeadDD\My Documents\My SAS Files\SREB\QWK04245\Page5\Type11gr4.txt">
      <textFields>
        <textField/>
      </textFields>
    </textPr>
  </connection>
  <connection id="6" xr16:uid="{00000000-0015-0000-FFFF-FFFF05000000}" name="Type11gr5" type="6" refreshedVersion="4" background="1" saveData="1">
    <textPr codePage="437" sourceFile="\\THECB-AUVFS41\UserDoc$\MeadDD\My Documents\My SAS Files\SREB\QWK04245\Page5\Type11gr5.txt">
      <textFields>
        <textField/>
      </textFields>
    </textPr>
  </connection>
  <connection id="7" xr16:uid="{00000000-0015-0000-FFFF-FFFF06000000}" name="Type11ug1" type="6" refreshedVersion="4" background="1" saveData="1">
    <textPr codePage="437" sourceFile="\\THECB-AUVFS41\UserDoc$\MeadDD\My Documents\My SAS Files\SREB\QWK04245\Page5\Type11ug1.txt">
      <textFields>
        <textField/>
      </textFields>
    </textPr>
  </connection>
  <connection id="8" xr16:uid="{00000000-0015-0000-FFFF-FFFF07000000}" name="Type11ug2" type="6" refreshedVersion="4" background="1" saveData="1">
    <textPr codePage="437" sourceFile="\\THECB-AUVFS41\UserDoc$\MeadDD\My Documents\My SAS Files\SREB\QWK04245\Page5\Type11ug2.txt">
      <textFields>
        <textField/>
      </textFields>
    </textPr>
  </connection>
  <connection id="9" xr16:uid="{00000000-0015-0000-FFFF-FFFF08000000}" name="Type11ug3" type="6" refreshedVersion="4" background="1" saveData="1">
    <textPr codePage="437" sourceFile="\\THECB-AUVFS41\UserDoc$\MeadDD\My Documents\My SAS Files\SREB\QWK04245\Page5\Type11ug3.txt">
      <textFields>
        <textField/>
      </textFields>
    </textPr>
  </connection>
  <connection id="10" xr16:uid="{00000000-0015-0000-FFFF-FFFF09000000}" name="Type11ug4" type="6" refreshedVersion="4" background="1" saveData="1">
    <textPr codePage="437" sourceFile="\\THECB-AUVFS41\UserDoc$\MeadDD\My Documents\My SAS Files\SREB\QWK04245\Page5\Type11ug4.txt">
      <textFields>
        <textField/>
      </textFields>
    </textPr>
  </connection>
  <connection id="11" xr16:uid="{00000000-0015-0000-FFFF-FFFF0A000000}" name="Type11ug5" type="6" refreshedVersion="4" background="1" saveData="1">
    <textPr codePage="437" sourceFile="\\THECB-AUVFS41\UserDoc$\MeadDD\My Documents\My SAS Files\SREB\QWK04245\Page5\Type11ug5.txt">
      <textFields>
        <textField/>
      </textFields>
    </textPr>
  </connection>
  <connection id="12" xr16:uid="{00000000-0015-0000-FFFF-FFFF0B000000}" name="Type13gr11" type="6" refreshedVersion="5" background="1" saveData="1">
    <textPr codePage="437" sourceFile="Z:\Mead\SASdocs\SREB\QWK04869\Page5\Type13gr1.txt">
      <textFields>
        <textField/>
      </textFields>
    </textPr>
  </connection>
  <connection id="13" xr16:uid="{DC4BD939-60DF-4A7A-BBE8-794863BDDDDB}" name="Type13gr111" type="6" refreshedVersion="5" background="1" saveData="1">
    <textPr codePage="437" sourceFile="Z:\Mead\SASdocs\SREB\QWK04869\Page5\Type13gr1.txt">
      <textFields>
        <textField/>
      </textFields>
    </textPr>
  </connection>
  <connection id="14" xr16:uid="{00000000-0015-0000-FFFF-FFFF0C000000}" name="Type13gr21" type="6" refreshedVersion="5" background="1" saveData="1">
    <textPr codePage="437" sourceFile="Z:\Mead\SASdocs\SREB\QWK04869\Page5\Type13gr2.txt">
      <textFields>
        <textField/>
      </textFields>
    </textPr>
  </connection>
  <connection id="15" xr16:uid="{9D9D3E2E-C5C7-4F48-BBC2-FC341B2AF4C5}" name="Type13gr211" type="6" refreshedVersion="5" background="1" saveData="1">
    <textPr codePage="437" sourceFile="Z:\Mead\SASdocs\SREB\QWK04869\Page5\Type13gr2.txt">
      <textFields>
        <textField/>
      </textFields>
    </textPr>
  </connection>
  <connection id="16" xr16:uid="{00000000-0015-0000-FFFF-FFFF0D000000}" name="Type13gr31" type="6" refreshedVersion="5" background="1" saveData="1">
    <textPr codePage="437" sourceFile="Z:\Mead\SASdocs\SREB\QWK04869\Page5\Type13gr3.txt">
      <textFields>
        <textField/>
      </textFields>
    </textPr>
  </connection>
  <connection id="17" xr16:uid="{1748F162-46CB-4EB6-BC10-9D6303C81F27}" name="Type13gr311" type="6" refreshedVersion="5" background="1" saveData="1">
    <textPr codePage="437" sourceFile="Z:\Mead\SASdocs\SREB\QWK04869\Page5\Type13gr3.txt">
      <textFields>
        <textField/>
      </textFields>
    </textPr>
  </connection>
  <connection id="18" xr16:uid="{00000000-0015-0000-FFFF-FFFF0E000000}" name="Type13gr41" type="6" refreshedVersion="5" background="1" saveData="1">
    <textPr codePage="437" sourceFile="Z:\Mead\SASdocs\SREB\QWK04869\Page5\Type13gr4.txt">
      <textFields>
        <textField/>
      </textFields>
    </textPr>
  </connection>
  <connection id="19" xr16:uid="{E9187DE1-9414-4270-9469-BBA85A535E23}" name="Type13gr411" type="6" refreshedVersion="5" background="1" saveData="1">
    <textPr codePage="437" sourceFile="Z:\Mead\SASdocs\SREB\QWK04869\Page5\Type13gr4.txt">
      <textFields>
        <textField/>
      </textFields>
    </textPr>
  </connection>
  <connection id="20" xr16:uid="{00000000-0015-0000-FFFF-FFFF0F000000}" name="Type13gr51" type="6" refreshedVersion="5" background="1" saveData="1">
    <textPr codePage="437" sourceFile="Z:\Mead\SASdocs\SREB\QWK04869\Page5\Type13gr5.txt">
      <textFields>
        <textField/>
      </textFields>
    </textPr>
  </connection>
  <connection id="21" xr16:uid="{1BCAE447-AD36-4E84-AFAC-B0D0B8A2D05E}" name="Type13gr511" type="6" refreshedVersion="5" background="1" saveData="1">
    <textPr codePage="437" sourceFile="Z:\Mead\SASdocs\SREB\QWK04869\Page5\Type13gr5.txt">
      <textFields>
        <textField/>
      </textFields>
    </textPr>
  </connection>
  <connection id="22" xr16:uid="{00000000-0015-0000-FFFF-FFFF10000000}" name="Type13ug11" type="6" refreshedVersion="5" background="1" saveData="1">
    <textPr codePage="437" sourceFile="Z:\Mead\SASdocs\SREB\QWK04869\Page5\Type13ug1.txt">
      <textFields>
        <textField/>
      </textFields>
    </textPr>
  </connection>
  <connection id="23" xr16:uid="{6A8FFFFF-E1B0-42DF-8D5C-28DD2B18E94C}" name="Type13ug111" type="6" refreshedVersion="5" background="1" saveData="1">
    <textPr codePage="437" sourceFile="Z:\Mead\SASdocs\SREB\QWK04869\Page5\Type13ug1.txt">
      <textFields>
        <textField/>
      </textFields>
    </textPr>
  </connection>
  <connection id="24" xr16:uid="{00000000-0015-0000-FFFF-FFFF11000000}" name="Type13ug21" type="6" refreshedVersion="5" background="1" saveData="1">
    <textPr codePage="437" sourceFile="Z:\Mead\SASdocs\SREB\QWK04869\Page5\Type13ug2.txt">
      <textFields>
        <textField/>
      </textFields>
    </textPr>
  </connection>
  <connection id="25" xr16:uid="{EC626C72-64FB-402E-9D16-E66C74B6538A}" name="Type13ug211" type="6" refreshedVersion="5" background="1" saveData="1">
    <textPr codePage="437" sourceFile="Z:\Mead\SASdocs\SREB\QWK04869\Page5\Type13ug2.txt">
      <textFields>
        <textField/>
      </textFields>
    </textPr>
  </connection>
  <connection id="26" xr16:uid="{00000000-0015-0000-FFFF-FFFF12000000}" name="Type13ug31" type="6" refreshedVersion="5" background="1" saveData="1">
    <textPr codePage="437" sourceFile="Z:\Mead\SASdocs\SREB\QWK04869\Page5\Type13ug3.txt">
      <textFields>
        <textField/>
      </textFields>
    </textPr>
  </connection>
  <connection id="27" xr16:uid="{E2C49DAE-57F5-4676-9A48-176E33A9DE9C}" name="Type13ug311" type="6" refreshedVersion="5" background="1" saveData="1">
    <textPr codePage="437" sourceFile="Z:\Mead\SASdocs\SREB\QWK04869\Page5\Type13ug3.txt">
      <textFields>
        <textField/>
      </textFields>
    </textPr>
  </connection>
  <connection id="28" xr16:uid="{00000000-0015-0000-FFFF-FFFF13000000}" name="Type13ug41" type="6" refreshedVersion="5" background="1" saveData="1">
    <textPr codePage="437" sourceFile="Z:\Mead\SASdocs\SREB\QWK04869\Page5\Type13ug4.txt">
      <textFields>
        <textField/>
      </textFields>
    </textPr>
  </connection>
  <connection id="29" xr16:uid="{B17F5B95-7E9C-4563-96E3-C684DD7B091E}" name="Type13ug411" type="6" refreshedVersion="5" background="1" saveData="1">
    <textPr codePage="437" sourceFile="Z:\Mead\SASdocs\SREB\QWK04869\Page5\Type13ug4.txt">
      <textFields>
        <textField/>
      </textFields>
    </textPr>
  </connection>
  <connection id="30" xr16:uid="{00000000-0015-0000-FFFF-FFFF14000000}" name="Type13ug51" type="6" refreshedVersion="5" background="1" saveData="1">
    <textPr codePage="437" sourceFile="Z:\Mead\SASdocs\SREB\QWK04869\Page5\Type13ug5.txt">
      <textFields>
        <textField/>
      </textFields>
    </textPr>
  </connection>
  <connection id="31" xr16:uid="{D4108E0D-D531-4C26-8926-122C60F4ACCD}" name="Type13ug511" type="6" refreshedVersion="5" background="1" saveData="1">
    <textPr codePage="437" sourceFile="Z:\Mead\SASdocs\SREB\QWK04869\Page5\Type13ug5.txt">
      <textFields>
        <textField/>
      </textFields>
    </textPr>
  </connection>
</connections>
</file>

<file path=xl/sharedStrings.xml><?xml version="1.0" encoding="utf-8"?>
<sst xmlns="http://schemas.openxmlformats.org/spreadsheetml/2006/main" count="4000" uniqueCount="999">
  <si>
    <r>
      <rPr>
        <b/>
        <sz val="14"/>
        <color theme="0"/>
        <rFont val="Arial"/>
        <family val="2"/>
      </rPr>
      <t>Part 5: Credit</t>
    </r>
    <r>
      <rPr>
        <b/>
        <sz val="14"/>
        <color rgb="FFFF0000"/>
        <rFont val="Arial"/>
        <family val="2"/>
      </rPr>
      <t xml:space="preserve"> </t>
    </r>
    <r>
      <rPr>
        <b/>
        <sz val="14"/>
        <color theme="0"/>
        <rFont val="Arial"/>
        <family val="2"/>
      </rPr>
      <t>Hours by Mode of Instruction</t>
    </r>
  </si>
  <si>
    <t>Undergraduate Credit Hours</t>
  </si>
  <si>
    <t>Graduate Credit Hours</t>
  </si>
  <si>
    <t>Calculated</t>
  </si>
  <si>
    <t>e-Learning (more than 50% of course content is electronically delivered)</t>
  </si>
  <si>
    <t>Comments:  Please look for comments and answer questions; add comments as needed</t>
  </si>
  <si>
    <r>
      <rPr>
        <b/>
        <sz val="10"/>
        <color rgb="FF000000"/>
        <rFont val="Arial"/>
        <family val="2"/>
      </rPr>
      <t xml:space="preserve">On-Campus "Traditional" Instruction
 </t>
    </r>
    <r>
      <rPr>
        <sz val="10"/>
        <color rgb="FF000000"/>
        <rFont val="Arial"/>
        <family val="2"/>
      </rPr>
      <t>(significant site attendance required--50% or less of course content is electronically delivered)</t>
    </r>
  </si>
  <si>
    <r>
      <rPr>
        <b/>
        <sz val="10"/>
        <color rgb="FF000000"/>
        <rFont val="Arial"/>
        <family val="2"/>
      </rPr>
      <t xml:space="preserve">Off-Campus
(in-state or out-of-state sites) "Traditional" Instruction 
</t>
    </r>
    <r>
      <rPr>
        <sz val="10"/>
        <color rgb="FF000000"/>
        <rFont val="Arial"/>
        <family val="2"/>
      </rPr>
      <t>(significant site attendance required--50% or less of course content is electronically delivered)</t>
    </r>
  </si>
  <si>
    <t>Web</t>
  </si>
  <si>
    <r>
      <rPr>
        <b/>
        <sz val="10"/>
        <color rgb="FF000000"/>
        <rFont val="Arial"/>
        <family val="2"/>
      </rPr>
      <t xml:space="preserve">Site-to-Site, 2-Way, Audio/Video </t>
    </r>
    <r>
      <rPr>
        <sz val="10"/>
        <color rgb="FF000000"/>
        <rFont val="Arial"/>
        <family val="2"/>
      </rPr>
      <t>(compressed video)</t>
    </r>
  </si>
  <si>
    <r>
      <rPr>
        <b/>
        <sz val="10"/>
        <color indexed="12"/>
        <rFont val="Arial"/>
        <family val="2"/>
      </rPr>
      <t xml:space="preserve">Other </t>
    </r>
    <r>
      <rPr>
        <sz val="10"/>
        <color indexed="12"/>
        <rFont val="Arial"/>
        <family val="2"/>
      </rPr>
      <t xml:space="preserve">(Satellite, Cable, Broadcast TV/Radio, Closed-Circuit, Video Tapes, CD ROM)             </t>
    </r>
  </si>
  <si>
    <r>
      <rPr>
        <b/>
        <sz val="10"/>
        <color indexed="12"/>
        <rFont val="Arial"/>
        <family val="2"/>
      </rPr>
      <t xml:space="preserve">Site-to-Site, 2-Way, Audio/Video </t>
    </r>
    <r>
      <rPr>
        <sz val="10"/>
        <color indexed="12"/>
        <rFont val="Arial"/>
        <family val="2"/>
      </rPr>
      <t>(compressed video)</t>
    </r>
  </si>
  <si>
    <r>
      <rPr>
        <b/>
        <sz val="10"/>
        <color indexed="12"/>
        <rFont val="Arial"/>
        <family val="2"/>
      </rPr>
      <t xml:space="preserve">Other
</t>
    </r>
    <r>
      <rPr>
        <sz val="10"/>
        <color indexed="12"/>
        <rFont val="Arial"/>
        <family val="2"/>
      </rPr>
      <t xml:space="preserve"> (Satellite, Cable, Broadcast TV/Radio, Closed-Circuit, Video Tapes, CD ROM)            </t>
    </r>
    <r>
      <rPr>
        <b/>
        <sz val="10"/>
        <color indexed="12"/>
        <rFont val="Arial"/>
        <family val="2"/>
      </rPr>
      <t xml:space="preserve"> </t>
    </r>
  </si>
  <si>
    <r>
      <rPr>
        <b/>
        <sz val="10"/>
        <color rgb="FF000000"/>
        <rFont val="Arial"/>
        <family val="2"/>
      </rPr>
      <t xml:space="preserve">Correspondence
</t>
    </r>
    <r>
      <rPr>
        <sz val="10"/>
        <color rgb="FF000000"/>
        <rFont val="Arial"/>
        <family val="2"/>
      </rPr>
      <t xml:space="preserve">(no significant site attendance required-less than 50% of the course content is electronically delivered)     </t>
    </r>
  </si>
  <si>
    <t>State</t>
  </si>
  <si>
    <t>Institution</t>
  </si>
  <si>
    <t>Classification Notes</t>
  </si>
  <si>
    <t>IPEDS #</t>
  </si>
  <si>
    <t>Category</t>
  </si>
  <si>
    <t>Note</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</si>
  <si>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</si>
  <si>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</si>
  <si>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</si>
  <si>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</si>
  <si>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</si>
  <si>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</si>
  <si>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</si>
  <si>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</si>
  <si>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</si>
  <si>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</si>
  <si>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</si>
  <si>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</si>
  <si>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</si>
  <si>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</si>
  <si>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</si>
  <si>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</si>
  <si>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</si>
  <si>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</si>
  <si>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</si>
  <si>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</si>
  <si>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</si>
  <si>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</si>
  <si>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</si>
  <si>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</si>
  <si>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</si>
  <si>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</si>
  <si>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</si>
  <si>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</si>
  <si>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</si>
  <si>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</si>
  <si>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</si>
  <si>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</si>
  <si>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</si>
  <si>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</si>
  <si>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</si>
  <si>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</si>
  <si>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</si>
  <si>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</si>
  <si>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</si>
  <si>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</si>
  <si>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</si>
  <si>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</si>
  <si>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</si>
  <si>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</si>
  <si>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</si>
  <si>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</si>
  <si>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Jefferson State Community College</t>
  </si>
  <si>
    <t>Bevill State Community College</t>
  </si>
  <si>
    <t>Bishop State Community College</t>
  </si>
  <si>
    <t>Gadsden State Community College</t>
  </si>
  <si>
    <t>James H. Faulkner State Community College</t>
  </si>
  <si>
    <t xml:space="preserve">Lawson State Community College </t>
  </si>
  <si>
    <t>Northwest-Shoals Community College</t>
  </si>
  <si>
    <t>Shelton State Community College</t>
  </si>
  <si>
    <t>Southern Union State Community College</t>
  </si>
  <si>
    <t>Alabama Southern Community College</t>
  </si>
  <si>
    <t>Central Alabama Community College</t>
  </si>
  <si>
    <t>George Corley Wallace State Community College - Selma</t>
  </si>
  <si>
    <t>Jefferson Davis Community College</t>
  </si>
  <si>
    <t xml:space="preserve">Lurleen B. Wallace Community College </t>
  </si>
  <si>
    <t xml:space="preserve">Snead State Community College </t>
  </si>
  <si>
    <t xml:space="preserve">J.F. Ingram State Technical College </t>
  </si>
  <si>
    <t xml:space="preserve">Reid State Technical College </t>
  </si>
  <si>
    <t>Marion Military Institute</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</si>
  <si>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</si>
  <si>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</si>
  <si>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</si>
  <si>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</si>
  <si>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</si>
  <si>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</si>
  <si>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</si>
  <si>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</si>
  <si>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</si>
  <si>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</si>
  <si>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</si>
  <si>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</si>
  <si>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</si>
  <si>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</si>
  <si>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</si>
  <si>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</si>
  <si>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</si>
  <si>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</si>
  <si>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</si>
  <si>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</si>
  <si>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</si>
  <si>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</si>
  <si>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</si>
  <si>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</si>
  <si>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</si>
  <si>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</si>
  <si>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</si>
  <si>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</si>
  <si>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</si>
  <si>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</si>
  <si>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</si>
  <si>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</si>
  <si>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DE</t>
  </si>
  <si>
    <t>University of Delaware</t>
  </si>
  <si>
    <t>Delaware State University</t>
  </si>
  <si>
    <t>Delaware Technical and Community College--Terry</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</si>
  <si>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</si>
  <si>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</si>
  <si>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</si>
  <si>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</si>
  <si>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</si>
  <si>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</si>
  <si>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</si>
  <si>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</si>
  <si>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Florida Keys Community College </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</si>
  <si>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</si>
  <si>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</si>
  <si>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</si>
  <si>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</si>
  <si>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</si>
  <si>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</si>
  <si>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</si>
  <si>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 xml:space="preserve">North Florida Community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</si>
  <si>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</si>
  <si>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</si>
  <si>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</si>
  <si>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</si>
  <si>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</si>
  <si>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</si>
  <si>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</si>
  <si>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</si>
  <si>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</si>
  <si>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</si>
  <si>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</si>
  <si>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</si>
  <si>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GA</t>
  </si>
  <si>
    <t>139940</t>
  </si>
  <si>
    <t>University of Georgia</t>
  </si>
  <si>
    <t>139959</t>
  </si>
  <si>
    <t>Georgia Institute of Technology</t>
  </si>
  <si>
    <t>139755</t>
  </si>
  <si>
    <t>Georgia Southern University</t>
  </si>
  <si>
    <t>139931</t>
  </si>
  <si>
    <t>Kennesaw State University</t>
  </si>
  <si>
    <t>140164</t>
  </si>
  <si>
    <t>University of West Georgia</t>
  </si>
  <si>
    <t>141334</t>
  </si>
  <si>
    <t xml:space="preserve">Valdosta State University </t>
  </si>
  <si>
    <t>141264</t>
  </si>
  <si>
    <t xml:space="preserve">Albany State University </t>
  </si>
  <si>
    <t>138716</t>
  </si>
  <si>
    <t>Armstrong State University</t>
  </si>
  <si>
    <t>138789</t>
  </si>
  <si>
    <t>Clayton State University</t>
  </si>
  <si>
    <t>139311</t>
  </si>
  <si>
    <t>Columbus State University</t>
  </si>
  <si>
    <t>139366</t>
  </si>
  <si>
    <t>Fort Valley State University</t>
  </si>
  <si>
    <t>139719</t>
  </si>
  <si>
    <t>Georgia College and State University</t>
  </si>
  <si>
    <t>139861</t>
  </si>
  <si>
    <t>482149</t>
  </si>
  <si>
    <t>University of North Georgia</t>
  </si>
  <si>
    <t>Georgia Southwestern State University</t>
  </si>
  <si>
    <t>139764</t>
  </si>
  <si>
    <t>Savannah State University</t>
  </si>
  <si>
    <t>140960</t>
  </si>
  <si>
    <t xml:space="preserve">College of Coastal Georgia </t>
  </si>
  <si>
    <t>139250</t>
  </si>
  <si>
    <t xml:space="preserve">Dalton State College </t>
  </si>
  <si>
    <t>139463</t>
  </si>
  <si>
    <t>Georgia Gwinnett College</t>
  </si>
  <si>
    <t>447689</t>
  </si>
  <si>
    <t>Middle Georgia State College</t>
  </si>
  <si>
    <t xml:space="preserve">Abraham Baldwin Agricultural College </t>
  </si>
  <si>
    <t>138558</t>
  </si>
  <si>
    <t>Atlanta Metropolitan State College</t>
  </si>
  <si>
    <t>138901</t>
  </si>
  <si>
    <t xml:space="preserve">Darton State College </t>
  </si>
  <si>
    <t>138691</t>
  </si>
  <si>
    <t>East Georgia State College</t>
  </si>
  <si>
    <t>139621</t>
  </si>
  <si>
    <t>Georgia Highlands College</t>
  </si>
  <si>
    <t>139700</t>
  </si>
  <si>
    <t xml:space="preserve">Gordon State College </t>
  </si>
  <si>
    <t>139968</t>
  </si>
  <si>
    <t>South Georgia State College</t>
  </si>
  <si>
    <t>244437</t>
  </si>
  <si>
    <t xml:space="preserve">Bainbridge State College </t>
  </si>
  <si>
    <t>139010</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</si>
  <si>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</si>
  <si>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</si>
  <si>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</si>
  <si>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</si>
  <si>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</si>
  <si>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</si>
  <si>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</si>
  <si>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</si>
  <si>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</si>
  <si>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</si>
  <si>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</si>
  <si>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</si>
  <si>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</si>
  <si>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</si>
  <si>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</si>
  <si>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</si>
  <si>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</si>
  <si>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</si>
  <si>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</si>
  <si>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</si>
  <si>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</si>
  <si>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</si>
  <si>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</si>
  <si>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</si>
  <si>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</si>
  <si>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</si>
  <si>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</si>
  <si>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</si>
  <si>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</si>
  <si>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</si>
  <si>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</si>
  <si>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</si>
  <si>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</si>
  <si>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</si>
  <si>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</si>
  <si>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</si>
  <si>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</si>
  <si>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</si>
  <si>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</si>
  <si>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</si>
  <si>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</si>
  <si>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</si>
  <si>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</si>
  <si>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</si>
  <si>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</si>
  <si>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</si>
  <si>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Gateway Community and Technical College</t>
  </si>
  <si>
    <t>Southcentral Kentucky Community and Technical College</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</si>
  <si>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</si>
  <si>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</si>
  <si>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</si>
  <si>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</si>
  <si>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</si>
  <si>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</si>
  <si>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</si>
  <si>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</si>
  <si>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</si>
  <si>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</si>
  <si>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</si>
  <si>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</si>
  <si>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</si>
  <si>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</si>
  <si>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</si>
  <si>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</si>
  <si>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</si>
  <si>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</si>
  <si>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</si>
  <si>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</si>
  <si>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</si>
  <si>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</si>
  <si>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</si>
  <si>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</si>
  <si>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</si>
  <si>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</si>
  <si>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</si>
  <si>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</si>
  <si>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</si>
  <si>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</si>
  <si>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</si>
  <si>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</si>
  <si>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</si>
  <si>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</si>
  <si>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</si>
  <si>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</si>
  <si>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</si>
  <si>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</si>
  <si>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</si>
  <si>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</si>
  <si>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</si>
  <si>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</si>
  <si>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</si>
  <si>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</si>
  <si>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</si>
  <si>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</si>
  <si>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</si>
  <si>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</si>
  <si>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</si>
  <si>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</si>
  <si>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</si>
  <si>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</si>
  <si>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</si>
  <si>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</si>
  <si>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</si>
  <si>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</si>
  <si>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</si>
  <si>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</si>
  <si>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</si>
  <si>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</si>
  <si>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Baltimore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</si>
  <si>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</si>
  <si>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</si>
  <si>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</si>
  <si>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</si>
  <si>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</si>
  <si>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</si>
  <si>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</si>
  <si>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</si>
  <si>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</si>
  <si>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</si>
  <si>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</si>
  <si>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</si>
  <si>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</si>
  <si>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</si>
  <si>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</si>
  <si>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</si>
  <si>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</si>
  <si>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</si>
  <si>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</si>
  <si>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</si>
  <si>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</si>
  <si>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</si>
  <si>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</si>
  <si>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</si>
  <si>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</si>
  <si>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</si>
  <si>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</si>
  <si>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</si>
  <si>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</si>
  <si>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</si>
  <si>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</si>
  <si>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</si>
  <si>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</si>
  <si>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</si>
  <si>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</si>
  <si>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</si>
  <si>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</si>
  <si>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</si>
  <si>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</si>
  <si>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</si>
  <si>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</si>
  <si>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</si>
  <si>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</si>
  <si>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</si>
  <si>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</si>
  <si>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</si>
  <si>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</si>
  <si>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</si>
  <si>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</si>
  <si>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</si>
  <si>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</si>
  <si>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</si>
  <si>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</si>
  <si>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</si>
  <si>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College of the Albemarle</t>
  </si>
  <si>
    <t xml:space="preserve">Craven Community College </t>
  </si>
  <si>
    <t xml:space="preserve">Davidson County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</si>
  <si>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</si>
  <si>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</si>
  <si>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</si>
  <si>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</si>
  <si>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</si>
  <si>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</si>
  <si>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</si>
  <si>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</si>
  <si>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</si>
  <si>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</si>
  <si>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</si>
  <si>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</si>
  <si>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</si>
  <si>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</si>
  <si>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</si>
  <si>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</si>
  <si>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</si>
  <si>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</si>
  <si>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</si>
  <si>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</si>
  <si>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</si>
  <si>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</si>
  <si>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</si>
  <si>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</si>
  <si>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</si>
  <si>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</si>
  <si>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</si>
  <si>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</si>
  <si>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</si>
  <si>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</si>
  <si>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</si>
  <si>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</si>
  <si>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</si>
  <si>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</si>
  <si>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</si>
  <si>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</si>
  <si>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</si>
  <si>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</si>
  <si>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</si>
  <si>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</si>
  <si>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</si>
  <si>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OK</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</si>
  <si>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</si>
  <si>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</si>
  <si>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</si>
  <si>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</si>
  <si>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</si>
  <si>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</si>
  <si>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</si>
  <si>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</si>
  <si>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</si>
  <si>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</si>
  <si>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</si>
  <si>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</si>
  <si>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</si>
  <si>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</si>
  <si>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Oklahoma State University-Oklahoma City</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</si>
  <si>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</si>
  <si>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</si>
  <si>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</si>
  <si>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</si>
  <si>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</si>
  <si>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</si>
  <si>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</si>
  <si>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</si>
  <si>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</si>
  <si>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</si>
  <si>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</si>
  <si>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</si>
  <si>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</si>
  <si>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</si>
  <si>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</si>
  <si>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</si>
  <si>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</si>
  <si>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</si>
  <si>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</si>
  <si>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</si>
  <si>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</si>
  <si>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</si>
  <si>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</si>
  <si>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</si>
  <si>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</si>
  <si>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</si>
  <si>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</si>
  <si>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</si>
  <si>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</si>
  <si>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</si>
  <si>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</si>
  <si>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</si>
  <si>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</si>
  <si>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</si>
  <si>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</si>
  <si>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</si>
  <si>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</si>
  <si>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</si>
  <si>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</si>
  <si>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</si>
  <si>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</si>
  <si>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</si>
  <si>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</si>
  <si>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</si>
  <si>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</si>
  <si>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</si>
  <si>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</si>
  <si>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</si>
  <si>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</si>
  <si>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</si>
  <si>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</si>
  <si>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</si>
  <si>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</si>
  <si>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</si>
  <si>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</si>
  <si>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</si>
  <si>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</si>
  <si>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</si>
  <si>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</si>
  <si>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</si>
  <si>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</si>
  <si>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</si>
  <si>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</si>
  <si>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</si>
  <si>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</si>
  <si>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</si>
  <si>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</si>
  <si>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</si>
  <si>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</si>
  <si>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</si>
  <si>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</si>
  <si>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</si>
  <si>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</si>
  <si>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</si>
  <si>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</si>
  <si>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</si>
  <si>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</si>
  <si>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</si>
  <si>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</si>
  <si>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</si>
  <si>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</si>
  <si>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</si>
  <si>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</si>
  <si>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</si>
  <si>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</si>
  <si>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</si>
  <si>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</si>
  <si>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</si>
  <si>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</si>
  <si>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</si>
  <si>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</si>
  <si>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</si>
  <si>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</si>
  <si>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</si>
  <si>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</si>
  <si>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</si>
  <si>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TX</t>
  </si>
  <si>
    <t xml:space="preserve">Texas A &amp; 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</si>
  <si>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</si>
  <si>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</si>
  <si>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</si>
  <si>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</si>
  <si>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</si>
  <si>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</si>
  <si>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</si>
  <si>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</si>
  <si>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</si>
  <si>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</si>
  <si>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</si>
  <si>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</si>
  <si>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</si>
  <si>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</si>
  <si>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</si>
  <si>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</si>
  <si>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</si>
  <si>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</si>
  <si>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 - Commerce</t>
  </si>
  <si>
    <t xml:space="preserve">Texas A &amp; M University-Corpus Christi </t>
  </si>
  <si>
    <t>Texas A &amp; M University-Kingsville</t>
  </si>
  <si>
    <t xml:space="preserve">Texas Southern University </t>
  </si>
  <si>
    <t>Texas State University</t>
  </si>
  <si>
    <t xml:space="preserve">University of Houston-Clear Lake </t>
  </si>
  <si>
    <t>University of Texas - Rio Grande Valley</t>
  </si>
  <si>
    <t>University of Texas at Tyler</t>
  </si>
  <si>
    <t>University of Texas of the Permian Basin</t>
  </si>
  <si>
    <t>West Texas A &amp; M University</t>
  </si>
  <si>
    <t>Texas A &amp; M -Texarkana</t>
  </si>
  <si>
    <t>Texas A &amp; M University - Central Texas</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</si>
  <si>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</si>
  <si>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</si>
  <si>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</si>
  <si>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</si>
  <si>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</si>
  <si>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</si>
  <si>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</si>
  <si>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</si>
  <si>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</si>
  <si>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</si>
  <si>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</si>
  <si>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</si>
  <si>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</si>
  <si>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</si>
  <si>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</si>
  <si>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</si>
  <si>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</si>
  <si>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</si>
  <si>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</si>
  <si>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</si>
  <si>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</si>
  <si>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</si>
  <si>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</si>
  <si>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</si>
  <si>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</si>
  <si>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</si>
  <si>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</si>
  <si>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</si>
  <si>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</si>
  <si>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</si>
  <si>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</si>
  <si>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</si>
  <si>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</si>
  <si>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</si>
  <si>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</si>
  <si>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</si>
  <si>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</si>
  <si>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</si>
  <si>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</si>
  <si>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</si>
  <si>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</si>
  <si>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</si>
  <si>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</si>
  <si>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</si>
  <si>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</si>
  <si>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</si>
  <si>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</si>
  <si>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</si>
  <si>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</si>
  <si>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</si>
  <si>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</si>
  <si>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</si>
  <si>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</si>
  <si>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</si>
  <si>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</si>
  <si>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</si>
  <si>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</si>
  <si>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</si>
  <si>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</si>
  <si>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</si>
  <si>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</si>
  <si>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</si>
  <si>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</si>
  <si>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</si>
  <si>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</si>
  <si>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</si>
  <si>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</si>
  <si>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</si>
  <si>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Panola College</t>
  </si>
  <si>
    <t xml:space="preserve">Ranger College </t>
  </si>
  <si>
    <t>Southwest Collegiate Institute for the Deaf (HCJCD)</t>
  </si>
  <si>
    <t>Texas State Technical College-Marshall</t>
  </si>
  <si>
    <t>Texas State Technical College-West Texas</t>
  </si>
  <si>
    <t xml:space="preserve">Western Texas College </t>
  </si>
  <si>
    <t>University of North Texas at Dallas</t>
  </si>
  <si>
    <t>New fall 2009. No degrees yet granted.</t>
  </si>
  <si>
    <t>Texas State Technical College-North Texas</t>
  </si>
  <si>
    <t>New Fall 2016</t>
  </si>
  <si>
    <t>Texas State Technical College-Fort Bend</t>
  </si>
  <si>
    <t>N/A</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</si>
  <si>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</si>
  <si>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</si>
  <si>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</si>
  <si>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</si>
  <si>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</si>
  <si>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</si>
  <si>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</si>
  <si>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</si>
  <si>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</si>
  <si>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</si>
  <si>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</si>
  <si>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</si>
  <si>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</si>
  <si>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</si>
  <si>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</si>
  <si>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</si>
  <si>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</si>
  <si>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</si>
  <si>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</si>
  <si>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</si>
  <si>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</si>
  <si>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</si>
  <si>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</si>
  <si>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</si>
  <si>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</si>
  <si>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</si>
  <si>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</si>
  <si>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</si>
  <si>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</si>
  <si>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</si>
  <si>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</si>
  <si>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</si>
  <si>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</si>
  <si>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</si>
  <si>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</si>
  <si>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</si>
  <si>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</si>
  <si>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</si>
  <si>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</si>
  <si>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</si>
  <si>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</si>
  <si>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</si>
  <si>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</si>
  <si>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</si>
  <si>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</si>
  <si>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</si>
  <si>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</si>
  <si>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</si>
  <si>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</si>
  <si>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</si>
  <si>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</si>
  <si>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</si>
  <si>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</si>
  <si>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</si>
  <si>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</si>
  <si>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</si>
  <si>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New</t>
  </si>
  <si>
    <t>Eastern West Virginia Community &amp; Technical College</t>
  </si>
  <si>
    <t>Mountwest Community &amp; Technical College</t>
  </si>
  <si>
    <t xml:space="preserve">Southern West Virginia Community &amp; Technical College </t>
  </si>
  <si>
    <t>West Virginia Northern Community College</t>
  </si>
  <si>
    <t>Academy of Careers and Technology (Raleigh County)</t>
  </si>
  <si>
    <t>Ben Franklin Career Center</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</si>
  <si>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</si>
  <si>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</si>
  <si>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</si>
  <si>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</si>
  <si>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</si>
  <si>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</si>
  <si>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</si>
  <si>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</si>
  <si>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</si>
  <si>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</si>
  <si>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</si>
  <si>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</si>
  <si>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</si>
  <si>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</si>
  <si>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Ralph R. Willis Career and Technical Center</t>
  </si>
  <si>
    <t>Roane-Jackson Technical Center</t>
  </si>
  <si>
    <t>South Branch Career &amp; Technical Center</t>
  </si>
  <si>
    <t>United Technical Center</t>
  </si>
  <si>
    <t xml:space="preserve">Wyoming County </t>
  </si>
  <si>
    <t>Greenbrier Practical School of Nursing</t>
  </si>
  <si>
    <t>Mingo Extended Learning Center</t>
  </si>
  <si>
    <t>Randolph Technical Center</t>
  </si>
  <si>
    <t>Summers County School of Nursing</t>
  </si>
  <si>
    <t>Wood County School of Practical Nursing</t>
  </si>
  <si>
    <t>NOT a Review Table</t>
  </si>
  <si>
    <t>type2</t>
  </si>
  <si>
    <t>Four-Year</t>
  </si>
  <si>
    <t>Four-Year Total</t>
  </si>
  <si>
    <t>14 Total</t>
  </si>
  <si>
    <t>Two-Year</t>
  </si>
  <si>
    <t>Two-Year Total</t>
  </si>
  <si>
    <t>Techncial</t>
  </si>
  <si>
    <t>Techncial Total</t>
  </si>
  <si>
    <t>Data</t>
  </si>
  <si>
    <t>Sum of OLD-Tot UG SCH Calc</t>
  </si>
  <si>
    <t>Sum of NEW-Tot UG SCH Calc</t>
  </si>
  <si>
    <t>Sum of Old UG E-Learning</t>
  </si>
  <si>
    <t>Sum of New UG E-Learning</t>
  </si>
  <si>
    <t>Sum of Old-Tot G SCH Calc</t>
  </si>
  <si>
    <t>Sum of New-Tot G SCH Calc</t>
  </si>
  <si>
    <t>Sum of Old G E-Learning</t>
  </si>
  <si>
    <t>Sum of New G E-Learning</t>
  </si>
  <si>
    <t xml:space="preserve"> </t>
  </si>
  <si>
    <t>Four-Year +</t>
  </si>
  <si>
    <t>Four-Year + Total</t>
  </si>
  <si>
    <t>Technical</t>
  </si>
  <si>
    <t>Technical Total</t>
  </si>
  <si>
    <t>Grand Total</t>
  </si>
  <si>
    <t xml:space="preserve"> Old %UG OnC Trad</t>
  </si>
  <si>
    <t xml:space="preserve"> New %UG OnC Trad</t>
  </si>
  <si>
    <t xml:space="preserve"> Change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</si>
  <si>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</si>
  <si>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</si>
  <si>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</si>
  <si>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</si>
  <si>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</si>
  <si>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</si>
  <si>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</si>
  <si>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</si>
  <si>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</si>
  <si>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</si>
  <si>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</si>
  <si>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</si>
  <si>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</si>
  <si>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</si>
  <si>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</si>
  <si>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</si>
  <si>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</si>
  <si>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</si>
  <si>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</si>
  <si>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</si>
  <si>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</si>
  <si>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</si>
  <si>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</si>
  <si>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</si>
  <si>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</si>
  <si>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</si>
  <si>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</si>
  <si>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</si>
  <si>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</si>
  <si>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</si>
  <si>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</si>
  <si>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</si>
  <si>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</si>
  <si>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</si>
  <si>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</si>
  <si>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Change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</si>
  <si>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</si>
  <si>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</si>
  <si>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</si>
  <si>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</si>
  <si>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</si>
  <si>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</si>
  <si>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</si>
  <si>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</si>
  <si>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</si>
  <si>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</si>
  <si>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</si>
  <si>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</si>
  <si>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</si>
  <si>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</si>
  <si>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</si>
  <si>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</si>
  <si>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</si>
  <si>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</si>
  <si>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</si>
  <si>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</si>
  <si>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</si>
  <si>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</si>
  <si>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</si>
  <si>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</si>
  <si>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</si>
  <si>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</si>
  <si>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</si>
  <si>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</si>
  <si>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</si>
  <si>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</si>
  <si>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</si>
  <si>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</si>
  <si>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</si>
  <si>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(blank)</t>
  </si>
  <si>
    <t>(blank) Total</t>
  </si>
  <si>
    <t>Total UG SCH</t>
  </si>
  <si>
    <t>4-year</t>
  </si>
  <si>
    <t>2-year</t>
  </si>
  <si>
    <t>Tech</t>
  </si>
  <si>
    <t>Total</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</si>
  <si>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</si>
  <si>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</si>
  <si>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</si>
  <si>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</si>
  <si>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</si>
  <si>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</si>
  <si>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</si>
  <si>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</si>
  <si>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</si>
  <si>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</si>
  <si>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</si>
  <si>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</si>
  <si>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</si>
  <si>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</si>
  <si>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</si>
  <si>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</si>
  <si>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E-Learning UG SCH</t>
  </si>
  <si>
    <t>Total G SCH</t>
  </si>
  <si>
    <t>E-Learning G SCH</t>
  </si>
  <si>
    <t>Table 91</t>
  </si>
  <si>
    <t>Table 106</t>
  </si>
  <si>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</si>
  <si>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</si>
  <si>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</si>
  <si>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</si>
  <si>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</si>
  <si>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</si>
  <si>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</si>
  <si>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</si>
  <si>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</si>
  <si>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2</t>
    </r>
  </si>
  <si>
    <t>Corre- spondence</t>
  </si>
  <si>
    <t>check figs</t>
  </si>
  <si>
    <r>
      <t>Florida</t>
    </r>
    <r>
      <rPr>
        <vertAlign val="superscript"/>
        <sz val="10"/>
        <rFont val="Arial"/>
        <family val="2"/>
      </rPr>
      <t>3</t>
    </r>
  </si>
  <si>
    <r>
      <t>1</t>
    </r>
    <r>
      <rPr>
        <sz val="8"/>
        <rFont val="Arial"/>
        <family val="2"/>
      </rPr>
      <t>This "all four-year" table includes the Marion Military Institute, University of Arkansas for Medical Sciences, University of Maryland University College, and University of Maryland - Baltimore.</t>
    </r>
  </si>
  <si>
    <r>
      <t>2</t>
    </r>
    <r>
      <rPr>
        <sz val="8"/>
        <rFont val="Arial"/>
        <family val="2"/>
      </rPr>
      <t>Courses delivered via satellite, cable TV, broadcast TV/radio, closed-circuit TV, video tape, CD-ROMS, e-mail, etc.</t>
    </r>
  </si>
  <si>
    <r>
      <t>3</t>
    </r>
    <r>
      <rPr>
        <sz val="8"/>
        <rFont val="Arial"/>
        <family val="2"/>
      </rPr>
      <t>The university system in Florida uses an 80 percent rule to define e-learning so their figures here are likely lower than they would be if they used the 50 percent rule.</t>
    </r>
  </si>
  <si>
    <t>Table 92</t>
  </si>
  <si>
    <t>Table 107</t>
  </si>
  <si>
    <r>
      <t>Other</t>
    </r>
    <r>
      <rPr>
        <b/>
        <vertAlign val="superscript"/>
        <sz val="9"/>
        <rFont val="Arial"/>
        <family val="2"/>
      </rPr>
      <t>1</t>
    </r>
  </si>
  <si>
    <r>
      <t>Florida</t>
    </r>
    <r>
      <rPr>
        <vertAlign val="superscript"/>
        <sz val="10"/>
        <rFont val="Arial"/>
        <family val="2"/>
      </rPr>
      <t>2</t>
    </r>
  </si>
  <si>
    <r>
      <t>1</t>
    </r>
    <r>
      <rPr>
        <sz val="8"/>
        <rFont val="Arial"/>
        <family val="2"/>
      </rPr>
      <t>Courses delivered via satellite, cable TV, broadcast TV/radio, closed-circuit TV, video tape, CD-ROMS, e-mail, etc.</t>
    </r>
  </si>
  <si>
    <r>
      <t>2</t>
    </r>
    <r>
      <rPr>
        <sz val="8"/>
        <rFont val="Arial"/>
        <family val="2"/>
      </rPr>
      <t>The university system in Florida uses a 75 percent rule to define e-learning so their figures here are likely lower than they would be if they used the 50 percent rule.</t>
    </r>
  </si>
  <si>
    <t>Table 93</t>
  </si>
  <si>
    <t>Table 108</t>
  </si>
  <si>
    <t>Table 94</t>
  </si>
  <si>
    <t>Table 109</t>
  </si>
  <si>
    <r>
      <t>2</t>
    </r>
    <r>
      <rPr>
        <sz val="8"/>
        <rFont val="Arial"/>
        <family val="2"/>
      </rPr>
      <t>The university system in Florida uses an 80 percent rule to define e-learning so their figures here are likely lower than they would be if they used the 50 percent rule.</t>
    </r>
  </si>
  <si>
    <t>Table 95</t>
  </si>
  <si>
    <t>Table 110</t>
  </si>
  <si>
    <t>Table 96</t>
  </si>
  <si>
    <t>Table 111</t>
  </si>
  <si>
    <t>Table 97</t>
  </si>
  <si>
    <t>Table 112</t>
  </si>
  <si>
    <t>Table 98</t>
  </si>
  <si>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</si>
  <si>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</si>
  <si>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t>Table 99</t>
  </si>
  <si>
    <r>
      <t>2</t>
    </r>
    <r>
      <rPr>
        <sz val="8"/>
        <rFont val="Arial"/>
        <family val="2"/>
      </rPr>
      <t>Florida Community Colleges define e-learning when 75 percent of course content is delivered electronically so the figures reported here are likely lower than they would be if they employed a 50 percent rule.</t>
    </r>
  </si>
  <si>
    <t>Table 100</t>
  </si>
  <si>
    <t>Table 101</t>
  </si>
  <si>
    <t>Table 102</t>
  </si>
  <si>
    <t>Table 103</t>
  </si>
  <si>
    <t>Table 104</t>
  </si>
  <si>
    <t>Table 105</t>
  </si>
  <si>
    <r>
      <t>1</t>
    </r>
    <r>
      <rPr>
        <sz val="8"/>
        <rFont val="Arial"/>
        <family val="2"/>
      </rPr>
      <t>This "all four-year" table includes the Marion Military Institute, University of Arkansas for Medical Sciences, Southern Polytechnic State University, University of Maryland University College, and University of Maryland - Baltimore.</t>
    </r>
  </si>
  <si>
    <t>Public Four-Year Institutions1, 2017</t>
  </si>
  <si>
    <t>Public Four-Year 1 Institutions, 2017</t>
  </si>
  <si>
    <t>Public Four-Year 2 Institutions, 2017</t>
  </si>
  <si>
    <t>Public Four-Year 3 Institutions, 2017</t>
  </si>
  <si>
    <t>Public Four-Year 4 Institutions, 2017</t>
  </si>
  <si>
    <t>Public Four-Year 5 Institutions, 2017</t>
  </si>
  <si>
    <t>Public Four-Year 6 Institutions, 2017</t>
  </si>
  <si>
    <t>Public Two-Year, 2017</t>
  </si>
  <si>
    <t>Public Two-Year with Bachelor's Institutions, 2017</t>
  </si>
  <si>
    <t>Public Two-Year 1 Institutions, 2017</t>
  </si>
  <si>
    <t>Public Two-Year 2 Institutions, 2017</t>
  </si>
  <si>
    <t>Public Two-Year 3 Institutions, 2017</t>
  </si>
  <si>
    <t>Public Technical Institutes or Colleges, 2017</t>
  </si>
  <si>
    <t>Public Technical Institutes or Colleges 1, 2017</t>
  </si>
  <si>
    <t>Public Technical Institutes or Colleges 2, 2017</t>
  </si>
  <si>
    <t>Table 87</t>
  </si>
  <si>
    <r>
      <t>All</t>
    </r>
    <r>
      <rPr>
        <b/>
        <vertAlign val="superscript"/>
        <sz val="10"/>
        <rFont val="Arial"/>
        <family val="2"/>
      </rPr>
      <t>1</t>
    </r>
  </si>
  <si>
    <t>with bachs.</t>
  </si>
  <si>
    <t>All</t>
  </si>
  <si>
    <r>
      <t xml:space="preserve">1 </t>
    </r>
    <r>
      <rPr>
        <sz val="8"/>
        <rFont val="Arial"/>
        <family val="2"/>
      </rPr>
      <t>The "all four-year" figures include the Marion Military Institute, University of Arkansas for Medical Sciences, University of Maryland University College, and University of Maryland - Baltimore.</t>
    </r>
  </si>
  <si>
    <t>Table 88</t>
  </si>
  <si>
    <r>
      <t>2</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</si>
  <si>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t>Table 89</t>
  </si>
  <si>
    <t>Percent of Graduate Instructional Activity</t>
  </si>
  <si>
    <t xml:space="preserve"> in Traditional Classroom Instruction</t>
  </si>
  <si>
    <r>
      <t>1</t>
    </r>
    <r>
      <rPr>
        <sz val="8"/>
        <rFont val="Arial"/>
        <family val="2"/>
      </rPr>
      <t xml:space="preserve"> The "all four-year" figures include the Marion Military Institute, University of Arkansas for Medical Sciences, University of Maryland University College, and University of Maryland - Baltimore.</t>
    </r>
  </si>
  <si>
    <t>Table 90</t>
  </si>
  <si>
    <t>Percent of Graduate Instructional Activity in e-Learning</t>
  </si>
  <si>
    <r>
      <t>2</t>
    </r>
    <r>
      <rPr>
        <sz val="8"/>
        <rFont val="Arial"/>
        <family val="2"/>
      </rPr>
      <t xml:space="preserve"> The university system in Florida uses an 80 percent rule to define e-learning so their figures here are likely lower than they would be if they used the 50 percent rule.</t>
    </r>
  </si>
  <si>
    <r>
      <t>All</t>
    </r>
    <r>
      <rPr>
        <b/>
        <vertAlign val="superscript"/>
        <sz val="9"/>
        <rFont val="Arial"/>
        <family val="2"/>
      </rPr>
      <t>1</t>
    </r>
  </si>
  <si>
    <r>
      <t xml:space="preserve">1 </t>
    </r>
    <r>
      <rPr>
        <sz val="8"/>
        <rFont val="Arial"/>
        <family val="2"/>
      </rPr>
      <t>The "all four-year" figures include the Marion Military Institute, University of Arkansas for Medical Sciences, Southern Polytechnic State University, University of Maryland University College, and University of Maryland - Baltimore.</t>
    </r>
  </si>
  <si>
    <t>Change</t>
  </si>
  <si>
    <t>4-Yr</t>
  </si>
  <si>
    <t>2-Yr</t>
  </si>
  <si>
    <r>
      <t>1</t>
    </r>
    <r>
      <rPr>
        <sz val="8"/>
        <rFont val="Arial"/>
        <family val="2"/>
      </rPr>
      <t xml:space="preserve"> The "all four-year" figures include the Marion Military Institute, University of Arkansas for Medical Sciences, Southern Polytechnic State University, University of Maryland University College, and University of Maryland - Baltimore.</t>
    </r>
  </si>
  <si>
    <t>Percent of Undergraduate Instructional Activity in Traditional Classroom Instruction by Type of Institution, 2017</t>
  </si>
  <si>
    <t>Percent of Undergraduate Instructional Activity in e-Learning by Type of Institution, 2017</t>
  </si>
  <si>
    <t>by Type of Institution, 2017</t>
  </si>
  <si>
    <r>
      <rPr>
        <b/>
        <sz val="10"/>
        <color rgb="FF000000"/>
        <rFont val="Arial"/>
        <family val="2"/>
      </rPr>
      <t xml:space="preserve">Data Columns:  </t>
    </r>
    <r>
      <rPr>
        <sz val="10"/>
        <color rgb="FF000000"/>
        <rFont val="Arial"/>
        <family val="2"/>
      </rPr>
      <t>White = New Data, Peach = Old Data, Purple/Grey = Calculated Data.</t>
    </r>
  </si>
  <si>
    <t>Total Undergraduate SCH</t>
  </si>
  <si>
    <t>Total Graduate SCH</t>
  </si>
  <si>
    <t>Reclassified: Met the criteria for Four-Year 1 in 2016-17, 2017-18, and 2018-19.</t>
  </si>
  <si>
    <t>Met the criteria for Four-Year 3 in 2018-19.</t>
  </si>
  <si>
    <t>Reclassified: Met the criteria for Four-Year 2 in 2016-17,  2017-18, and 2018-19.</t>
  </si>
  <si>
    <t>Met the criteria for Four-Year 4 in 2018-19.</t>
  </si>
  <si>
    <t xml:space="preserve">John C. Calhoun Community College </t>
  </si>
  <si>
    <t>George C. Wallace Community College-Dothan</t>
  </si>
  <si>
    <t>Met the criteria for Two-Year 1 in 2018-19.</t>
  </si>
  <si>
    <t>George C. Wallace State Community College-Hanceville</t>
  </si>
  <si>
    <t>*Delete after 2016-17; merged became "Coastal Alabama Community College"</t>
  </si>
  <si>
    <t>Chattahoochee Valley Community College</t>
  </si>
  <si>
    <t>Enterprise State Community College</t>
  </si>
  <si>
    <t>Northeast Alabama Community College</t>
  </si>
  <si>
    <t>Met the criteria for Two-Year 2 in 2018-19.</t>
  </si>
  <si>
    <t>H. Councill Trenholm State Community College</t>
  </si>
  <si>
    <t>J.F. Drake State Community and Technical College</t>
  </si>
  <si>
    <t>Met the criteria for Four-Year 4 in 2017-18 and 2018-19.</t>
  </si>
  <si>
    <t xml:space="preserve">Met the criteria for Two-Year 2 in 2018-19. </t>
  </si>
  <si>
    <t>University of Arkansas - Pulaski Technical College</t>
  </si>
  <si>
    <t xml:space="preserve">Reclassified: Met the criteria for Two-Year 2 in 2016-17, 2017-18, 2018-19. </t>
  </si>
  <si>
    <t>*Delete after 2016-17; institution is in the process of joining one of our university systems</t>
  </si>
  <si>
    <t>University of Arkansas Community College Rich Mountain</t>
  </si>
  <si>
    <t xml:space="preserve">Met the criteria for Two-Year 1 in 2017-18 and 2018-19. </t>
  </si>
  <si>
    <t xml:space="preserve">Met the criteria for Two-Year with Bachelor's in 2018-19. </t>
  </si>
  <si>
    <t xml:space="preserve">Reclassified: Met the criteria for Two-Year with Bachelor's in 2016-17, 2017-18, and 2018-19. </t>
  </si>
  <si>
    <t xml:space="preserve">Georgia State University </t>
  </si>
  <si>
    <t>*Delete after 2017-18; Institution was consolidated into Georgia Southern University</t>
  </si>
  <si>
    <t>Augusta University</t>
  </si>
  <si>
    <t>Met the criteria for Four-Year 5 in 2018-19.</t>
  </si>
  <si>
    <t xml:space="preserve">Met the criteria for Four-Year 6 in 2017-18 and 2018-19. </t>
  </si>
  <si>
    <t xml:space="preserve">*Delete after 2017-18; Institution was consolidated into Albany State College. Met the criteria for Two-Year 3 in 2017-18 and 2018-19 </t>
  </si>
  <si>
    <t xml:space="preserve">Georgia Perimeter College </t>
  </si>
  <si>
    <t>*Delete after 2016-17; Institution was consolidated into Georgia State University. Met the criteria for Two-Year 3 in 2017-18 and 2018-19.</t>
  </si>
  <si>
    <t>*Delete after 2017-18; Institution was consolidated into Abraham Baldwin Agricultural College. Met the criteria for Two-Year with Bachelor's in 2017-18 amd 2018-19.</t>
  </si>
  <si>
    <t>Met the criteria for Technical Institute or College 2 in 2017-18 and 2018-19. </t>
  </si>
  <si>
    <t>Met the criteria for Two-Year 3 in 2017-18 and 2018-19.</t>
  </si>
  <si>
    <t>Met the criteria for Two-Year 2 in 2017-18 and 2018-19.</t>
  </si>
  <si>
    <t>Central LA Technical Community College</t>
  </si>
  <si>
    <t>*Delete after 2016-17; campuses have been absorbed into other institutions.</t>
  </si>
  <si>
    <t>Reclassified: Met the criteria for Two-Year 3 in 2016-17, 2017-18, and 2018-19.</t>
  </si>
  <si>
    <t>Met the criteria for Two-Year 3 in 2018-19.</t>
  </si>
  <si>
    <t>University of North Carolina School of the Arts</t>
  </si>
  <si>
    <t>Reclassified: Met the criteria for Two-Year 2 in 2016-17, 2017-18, and 2018-19.</t>
  </si>
  <si>
    <t>Reclassified: Met the criteria for Four-Year 4 in 2016-17, 2017-18, and 2018-19.</t>
  </si>
  <si>
    <t>Met the criteria for Technical Institute or College 2 in 2017-18 and 2018-19.</t>
  </si>
  <si>
    <t>Met the criteria for Four-Year 1 in 2017-1 and 2018-19.</t>
  </si>
  <si>
    <t>Reclassified: Met the criteria for Two-Year 1 in 2016-17, 2017-18, and 2018-19.</t>
  </si>
  <si>
    <t>Reclassified: Met the criteria for Two-Year 3 in 2016-17, 2017-18, and 2018-19. </t>
  </si>
  <si>
    <t>Met the criteria for Two-Year 2 in  2017-18 and 2018-19. </t>
  </si>
  <si>
    <t xml:space="preserve">    Jan 2020</t>
  </si>
  <si>
    <t>Public Four-Year Institutions1, 2018</t>
  </si>
  <si>
    <t>Public Four-Year 1 Institutions, 2018</t>
  </si>
  <si>
    <t>Public Four-Year 2 Institutions, 2018</t>
  </si>
  <si>
    <t>Public Four-Year 3 Institutions, 2018</t>
  </si>
  <si>
    <t>Public Four-Year 4 Institutions, 2018</t>
  </si>
  <si>
    <t>Public Four-Year 5 Institutions, 2018</t>
  </si>
  <si>
    <t>Public Four-Year 6 Institutions, 2018</t>
  </si>
  <si>
    <t>Public Two-Year, 2018</t>
  </si>
  <si>
    <t>Public Two-Year with Bachelor's Institutions, 2018</t>
  </si>
  <si>
    <t>Public Two-Year 1 Institutions, 2018</t>
  </si>
  <si>
    <t>Public Two-Year 2 Institutions, 2018</t>
  </si>
  <si>
    <t>Public Two-Year 3 Institutions, 2018</t>
  </si>
  <si>
    <t>Public Technical Institutes or Colleges, 2018</t>
  </si>
  <si>
    <t>Public Technical Institutes or Colleges 1, 2018</t>
  </si>
  <si>
    <t>Public Technical Institutes or Colleges 2, 2018</t>
  </si>
  <si>
    <t>Percent of Undergraduate Instructional Activity in Traditional Classroom Instruction by Type of Institution, 2018</t>
  </si>
  <si>
    <t>Percent of Undergraduate Instructional Activity in e-Learning by Type of Institution, 2018</t>
  </si>
  <si>
    <t>by Type of Institution,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</si>
</sst>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
    <numFmt numFmtId="170" formatCode="0.000"/>
    <numFmt numFmtId="171" formatCode="0.0000"/>
    <numFmt numFmtId="172" formatCode="0.00000"/>
  </numFmts>
  <fonts count="47">
    <font>
      <sz val="12"/>
      <name val="AGaramond"/>
    </font>
    <font>
      <sz val="11"/>
      <color theme="1"/>
      <name val="Calibri"/>
      <family val="2"/>
      <scheme val="minor"/>
    </font>
    <font>
      <sz val="10"/>
      <name val="Arial"/>
      <family val="2"/>
    </font>
    <font>
      <b/>
      <sz val="10"/>
      <color indexed="10"/>
      <name val="Arial"/>
      <family val="2"/>
    </font>
    <font>
      <b/>
      <sz val="10"/>
      <name val="Arial"/>
      <family val="2"/>
    </font>
    <font>
      <b/>
      <sz val="10"/>
      <color indexed="12"/>
      <name val="Arial"/>
      <family val="2"/>
    </font>
    <font>
      <sz val="10"/>
      <color indexed="12"/>
      <name val="Arial"/>
      <family val="2"/>
    </font>
    <font>
      <b/>
      <sz val="14"/>
      <name val="Arial"/>
      <family val="2"/>
    </font>
    <font>
      <b/>
      <sz val="10"/>
      <color rgb="FFC00000"/>
      <name val="Arial"/>
      <family val="2"/>
    </font>
    <font>
      <sz val="10"/>
      <color rgb="FF0000FF"/>
      <name val="Arial"/>
      <family val="2"/>
    </font>
    <font>
      <b/>
      <sz val="10"/>
      <color theme="0"/>
      <name val="Arial"/>
      <family val="2"/>
    </font>
    <font>
      <b/>
      <sz val="10"/>
      <color rgb="FF0000FF"/>
      <name val="Arial"/>
      <family val="2"/>
    </font>
    <font>
      <b/>
      <sz val="14"/>
      <color theme="0"/>
      <name val="Arial"/>
      <family val="2"/>
    </font>
    <font>
      <b/>
      <sz val="14"/>
      <color rgb="FFFF0000"/>
      <name val="Arial"/>
      <family val="2"/>
    </font>
    <font>
      <sz val="10"/>
      <color theme="1"/>
      <name val="Arial"/>
      <family val="2"/>
    </font>
    <font>
      <b/>
      <sz val="10"/>
      <color rgb="FF000000"/>
      <name val="Arial"/>
      <family val="2"/>
    </font>
    <font>
      <sz val="10"/>
      <color rgb="FF000000"/>
      <name val="Arial"/>
      <family val="2"/>
    </font>
    <font>
      <b/>
      <sz val="11"/>
      <color rgb="FF000000"/>
      <name val="Tahoma"/>
      <family val="2"/>
    </font>
    <font>
      <b/>
      <sz val="10"/>
      <color rgb="FFFF0000"/>
      <name val="Arial"/>
      <family val="2"/>
    </font>
    <font>
      <b/>
      <sz val="11"/>
      <color rgb="FFC00000"/>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C00000"/>
      <name val="Calibri"/>
      <family val="2"/>
      <scheme val="minor"/>
    </font>
    <font>
      <sz val="14"/>
      <name val="Arial"/>
      <family val="2"/>
    </font>
    <font>
      <sz val="14"/>
      <color rgb="FFC00000"/>
      <name val="Arial"/>
      <family val="2"/>
    </font>
    <font>
      <sz val="8"/>
      <name val="Arial"/>
      <family val="2"/>
    </font>
    <font>
      <b/>
      <sz val="12"/>
      <name val="Arial"/>
      <family val="2"/>
    </font>
    <font>
      <sz val="10"/>
      <color rgb="FFC00000"/>
      <name val="Arial"/>
      <family val="2"/>
    </font>
    <font>
      <b/>
      <sz val="9"/>
      <name val="Arial"/>
      <family val="2"/>
    </font>
    <font>
      <sz val="9"/>
      <color rgb="FFC00000"/>
      <name val="Arial"/>
      <family val="2"/>
    </font>
    <font>
      <b/>
      <sz val="9"/>
      <color rgb="FFC00000"/>
      <name val="Arial"/>
      <family val="2"/>
    </font>
    <font>
      <b/>
      <vertAlign val="superscript"/>
      <sz val="9"/>
      <name val="Arial"/>
      <family val="2"/>
    </font>
    <font>
      <vertAlign val="superscript"/>
      <sz val="10"/>
      <name val="Arial"/>
      <family val="2"/>
    </font>
    <font>
      <vertAlign val="superscript"/>
      <sz val="8"/>
      <name val="Arial"/>
      <family val="2"/>
    </font>
    <font>
      <sz val="11"/>
      <color indexed="8"/>
      <name val="Calibri"/>
      <family val="2"/>
    </font>
    <font>
      <sz val="8"/>
      <color rgb="FFC00000"/>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9"/>
      <name val="Arial"/>
      <family val="2"/>
    </font>
    <font>
      <b/>
      <sz val="12"/>
      <color indexed="8"/>
      <name val="Arial"/>
      <family val="2"/>
    </font>
    <font>
      <b/>
      <sz val="10"/>
      <color indexed="8"/>
      <name val="Arial"/>
      <family val="2"/>
    </font>
    <font>
      <b/>
      <vertAlign val="superscript"/>
      <sz val="10"/>
      <name val="Arial"/>
      <family val="2"/>
    </font>
    <font>
      <b/>
      <sz val="9"/>
      <color rgb="FF000000"/>
      <name val="Tahoma"/>
      <family val="2"/>
    </font>
    <font>
      <sz val="9"/>
      <color rgb="FF000000"/>
      <name val="Tahoma"/>
      <family val="2"/>
    </font>
  </fonts>
  <fills count="4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indexed="45"/>
        <bgColor indexed="64"/>
      </patternFill>
    </fill>
    <fill>
      <patternFill patternType="solid">
        <fgColor rgb="FFFF99CC"/>
        <bgColor indexed="64"/>
      </patternFill>
    </fill>
    <fill>
      <patternFill patternType="solid">
        <fgColor theme="9" tint="0.59999389629810485"/>
        <bgColor theme="9" tint="0.59999389629810485"/>
      </patternFill>
    </fill>
    <fill>
      <patternFill patternType="solid">
        <fgColor rgb="FFFFFFFF"/>
        <bgColor rgb="FFFFFFFF"/>
      </patternFill>
    </fill>
    <fill>
      <patternFill patternType="solid">
        <fgColor indexed="45"/>
      </patternFill>
    </fill>
    <fill>
      <patternFill patternType="solid">
        <fgColor indexed="47"/>
        <bgColor indexed="64"/>
      </patternFill>
    </fill>
    <fill>
      <patternFill patternType="solid">
        <fgColor rgb="FFFFCC99"/>
        <bgColor rgb="FFFFCC99"/>
      </patternFill>
    </fill>
    <fill>
      <patternFill patternType="solid">
        <fgColor indexed="47"/>
      </patternFill>
    </fill>
    <fill>
      <patternFill patternType="solid">
        <fgColor rgb="FFFFCC99"/>
        <bgColor indexed="64"/>
      </patternFill>
    </fill>
    <fill>
      <patternFill patternType="solid">
        <fgColor indexed="43"/>
        <bgColor indexed="64"/>
      </patternFill>
    </fill>
    <fill>
      <patternFill patternType="solid">
        <fgColor indexed="42"/>
      </patternFill>
    </fill>
    <fill>
      <patternFill patternType="solid">
        <fgColor indexed="15"/>
        <bgColor indexed="64"/>
      </patternFill>
    </fill>
    <fill>
      <patternFill patternType="solid">
        <fgColor rgb="FF00FFFF"/>
        <bgColor indexed="64"/>
      </patternFill>
    </fill>
    <fill>
      <patternFill patternType="solid">
        <fgColor indexed="44"/>
      </patternFill>
    </fill>
    <fill>
      <patternFill patternType="solid">
        <fgColor rgb="FF99CCFF"/>
        <bgColor rgb="FF99CCFF"/>
      </patternFill>
    </fill>
    <fill>
      <patternFill patternType="solid">
        <fgColor indexed="44"/>
        <bgColor indexed="42"/>
      </patternFill>
    </fill>
    <fill>
      <patternFill patternType="solid">
        <fgColor rgb="FF99CCFF"/>
        <bgColor indexed="64"/>
      </patternFill>
    </fill>
    <fill>
      <patternFill patternType="solid">
        <fgColor rgb="FFFF99CC"/>
        <bgColor rgb="FFFF99CC"/>
      </patternFill>
    </fill>
    <fill>
      <patternFill patternType="solid">
        <fgColor indexed="51"/>
      </patternFill>
    </fill>
    <fill>
      <patternFill patternType="solid">
        <fgColor rgb="FFFFCC00"/>
        <bgColor indexed="64"/>
      </patternFill>
    </fill>
    <fill>
      <patternFill patternType="solid">
        <fgColor rgb="FFFFFF99"/>
        <bgColor indexed="64"/>
      </patternFill>
    </fill>
    <fill>
      <patternFill patternType="solid">
        <fgColor indexed="43"/>
        <bgColor indexed="42"/>
      </patternFill>
    </fill>
    <fill>
      <patternFill patternType="solid">
        <fgColor rgb="FFCCFFCC"/>
        <bgColor indexed="64"/>
      </patternFill>
    </fill>
    <fill>
      <patternFill patternType="solid">
        <fgColor indexed="15"/>
        <bgColor indexed="42"/>
      </patternFill>
    </fill>
    <fill>
      <patternFill patternType="solid">
        <fgColor indexed="46"/>
      </patternFill>
    </fill>
    <fill>
      <patternFill patternType="solid">
        <fgColor rgb="FF99CCFF"/>
      </patternFill>
    </fill>
    <fill>
      <patternFill patternType="solid">
        <fgColor indexed="45"/>
        <bgColor indexed="42"/>
      </patternFill>
    </fill>
    <fill>
      <patternFill patternType="solid">
        <fgColor rgb="FFCCFFCC"/>
        <bgColor rgb="FFCCFFCC"/>
      </patternFill>
    </fill>
    <fill>
      <patternFill patternType="solid">
        <fgColor indexed="42"/>
        <bgColor indexed="42"/>
      </patternFill>
    </fill>
    <fill>
      <patternFill patternType="solid">
        <fgColor rgb="FFCC99FF"/>
        <bgColor indexed="64"/>
      </patternFill>
    </fill>
    <fill>
      <patternFill patternType="solid">
        <fgColor rgb="FFCC99FF"/>
        <bgColor rgb="FFCC99FF"/>
      </patternFill>
    </fill>
    <fill>
      <patternFill patternType="solid">
        <fgColor rgb="FFFFFF00"/>
        <bgColor indexed="64"/>
      </patternFill>
    </fill>
    <fill>
      <patternFill patternType="solid">
        <fgColor rgb="FF00B0F0"/>
        <bgColor indexed="64"/>
      </patternFill>
    </fill>
    <fill>
      <patternFill patternType="solid">
        <fgColor indexed="11"/>
      </patternFill>
    </fill>
    <fill>
      <patternFill patternType="solid">
        <fgColor indexed="43"/>
      </patternFill>
    </fill>
  </fills>
  <borders count="64">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right/>
      <top style="thin">
        <color auto="1"/>
      </top>
      <bottom style="double">
        <color auto="1"/>
      </bottom>
      <diagonal/>
    </border>
    <border>
      <left style="medium">
        <color auto="1"/>
      </left>
      <right/>
      <top/>
      <bottom/>
      <diagonal/>
    </border>
    <border>
      <left style="double">
        <color auto="1"/>
      </left>
      <right style="thin">
        <color auto="1"/>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65"/>
      </left>
      <right style="thin">
        <color indexed="64"/>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64"/>
      </left>
      <right/>
      <top style="thin">
        <color indexed="64"/>
      </top>
      <bottom/>
      <diagonal/>
    </border>
    <border>
      <left style="thin">
        <color indexed="8"/>
      </left>
      <right style="thin">
        <color indexed="8"/>
      </right>
      <top style="thin">
        <color indexed="65"/>
      </top>
      <bottom style="thin">
        <color indexed="64"/>
      </bottom>
      <diagonal/>
    </border>
    <border>
      <left style="thin">
        <color indexed="8"/>
      </left>
      <right/>
      <top style="thin">
        <color indexed="65"/>
      </top>
      <bottom style="thin">
        <color indexed="64"/>
      </bottom>
      <diagonal/>
    </border>
    <border>
      <left style="thin">
        <color indexed="64"/>
      </left>
      <right/>
      <top style="thin">
        <color indexed="8"/>
      </top>
      <bottom/>
      <diagonal/>
    </border>
    <border>
      <left style="thin">
        <color indexed="8"/>
      </left>
      <right/>
      <top/>
      <bottom/>
      <diagonal/>
    </border>
    <border>
      <left style="thin">
        <color indexed="64"/>
      </left>
      <right/>
      <top/>
      <bottom/>
      <diagonal/>
    </border>
    <border>
      <left style="thin">
        <color indexed="8"/>
      </left>
      <right/>
      <top/>
      <bottom style="thin">
        <color indexed="64"/>
      </bottom>
      <diagonal/>
    </border>
    <border>
      <left style="thin">
        <color indexed="64"/>
      </left>
      <right/>
      <top/>
      <bottom style="thin">
        <color indexed="64"/>
      </bottom>
      <diagonal/>
    </border>
    <border>
      <left style="thin">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medium">
        <color indexed="8"/>
      </bottom>
      <diagonal/>
    </border>
    <border>
      <left style="thin">
        <color indexed="65"/>
      </left>
      <right style="thin">
        <color indexed="8"/>
      </right>
      <top style="thin">
        <color indexed="8"/>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bottom/>
      <diagonal/>
    </border>
    <border>
      <left/>
      <right/>
      <top style="thin">
        <color indexed="65"/>
      </top>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rgb="FFB0B7BB"/>
      </top>
      <bottom/>
      <diagonal/>
    </border>
    <border>
      <left style="thick">
        <color rgb="FFFF0000"/>
      </left>
      <right/>
      <top/>
      <bottom/>
      <diagonal/>
    </border>
    <border>
      <left style="thick">
        <color rgb="FFFF0000"/>
      </left>
      <right/>
      <top/>
      <bottom style="double">
        <color indexed="64"/>
      </bottom>
      <diagonal/>
    </border>
  </borders>
  <cellStyleXfs count="13">
    <xf numFmtId="164" fontId="0" fillId="0" borderId="0"/>
    <xf numFmtId="37" fontId="2" fillId="7" borderId="10"/>
    <xf numFmtId="37" fontId="2" fillId="7" borderId="10">
      <protection locked="0"/>
    </xf>
    <xf numFmtId="37" fontId="2" fillId="0" borderId="10">
      <alignment horizontal="center" vertical="top"/>
      <protection locked="0"/>
    </xf>
    <xf numFmtId="9" fontId="9" fillId="5" borderId="10">
      <alignment horizontal="right"/>
    </xf>
    <xf numFmtId="9" fontId="9" fillId="6" borderId="10">
      <alignment horizontal="right"/>
    </xf>
    <xf numFmtId="38" fontId="9" fillId="5" borderId="10">
      <alignment horizontal="right"/>
    </xf>
    <xf numFmtId="38" fontId="9" fillId="6" borderId="10">
      <alignment horizontal="right"/>
    </xf>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35" fillId="43" borderId="0" applyNumberFormat="0" applyBorder="0" applyAlignment="0" applyProtection="0"/>
  </cellStyleXfs>
  <cellXfs count="555">
    <xf numFmtId="164" fontId="0" fillId="0" borderId="0" xfId="0"/>
    <xf numFmtId="49" fontId="4" fillId="19" borderId="0" xfId="0" applyNumberFormat="1" applyFont="1" applyFill="1" applyAlignment="1" applyProtection="1">
      <alignment horizontal="left"/>
      <protection locked="0"/>
    </xf>
    <xf numFmtId="49" fontId="2" fillId="19" borderId="0" xfId="0" applyNumberFormat="1" applyFont="1" applyFill="1" applyAlignment="1" applyProtection="1">
      <alignment horizontal="left"/>
      <protection locked="0"/>
    </xf>
    <xf numFmtId="49" fontId="2" fillId="19" borderId="0" xfId="0" applyNumberFormat="1" applyFont="1" applyFill="1" applyAlignment="1" applyProtection="1">
      <alignment horizontal="center"/>
      <protection locked="0"/>
    </xf>
    <xf numFmtId="1" fontId="8" fillId="18" borderId="0" xfId="0" applyNumberFormat="1" applyFont="1" applyFill="1" applyAlignment="1" applyProtection="1">
      <alignment horizontal="center"/>
      <protection locked="0"/>
    </xf>
    <xf numFmtId="164" fontId="8" fillId="17" borderId="0" xfId="0" applyFont="1" applyFill="1" applyAlignment="1" applyProtection="1">
      <alignment horizontal="left"/>
      <protection locked="0"/>
    </xf>
    <xf numFmtId="49" fontId="8" fillId="17" borderId="0" xfId="0" applyNumberFormat="1" applyFont="1" applyFill="1" applyAlignment="1" applyProtection="1">
      <alignment horizontal="left"/>
      <protection locked="0"/>
    </xf>
    <xf numFmtId="49" fontId="4" fillId="17" borderId="0" xfId="0" applyNumberFormat="1" applyFont="1" applyFill="1" applyAlignment="1" applyProtection="1">
      <alignment horizontal="left"/>
      <protection locked="0"/>
    </xf>
    <xf numFmtId="49" fontId="2" fillId="16" borderId="0" xfId="0" applyNumberFormat="1" applyFont="1" applyFill="1" applyAlignment="1" applyProtection="1">
      <alignment horizontal="left"/>
      <protection locked="0"/>
    </xf>
    <xf numFmtId="164" fontId="2" fillId="16" borderId="0" xfId="0" applyFont="1" applyFill="1" applyAlignment="1" applyProtection="1">
      <alignment horizontal="left"/>
      <protection locked="0"/>
    </xf>
    <xf numFmtId="1" fontId="14" fillId="15" borderId="0" xfId="0" applyNumberFormat="1" applyFont="1" applyFill="1" applyAlignment="1" applyProtection="1">
      <alignment horizontal="center"/>
      <protection locked="0"/>
    </xf>
    <xf numFmtId="1" fontId="2" fillId="15" borderId="0" xfId="0" applyNumberFormat="1" applyFont="1" applyFill="1" applyAlignment="1" applyProtection="1">
      <alignment horizontal="center"/>
      <protection locked="0"/>
    </xf>
    <xf numFmtId="49" fontId="2" fillId="15" borderId="5" xfId="0" applyNumberFormat="1" applyFont="1" applyFill="1" applyBorder="1" applyAlignment="1" applyProtection="1">
      <alignment horizontal="center"/>
      <protection locked="0"/>
    </xf>
    <xf numFmtId="1" fontId="8" fillId="14" borderId="0" xfId="0" applyNumberFormat="1" applyFont="1" applyFill="1" applyAlignment="1" applyProtection="1">
      <alignment horizontal="center"/>
      <protection locked="0"/>
    </xf>
    <xf numFmtId="3" fontId="4" fillId="14" borderId="0" xfId="0" applyNumberFormat="1" applyFont="1" applyFill="1" applyAlignment="1" applyProtection="1">
      <alignment horizontal="left"/>
      <protection locked="0"/>
    </xf>
    <xf numFmtId="49" fontId="4" fillId="14" borderId="0" xfId="0" applyNumberFormat="1" applyFont="1" applyFill="1" applyAlignment="1" applyProtection="1">
      <alignment horizontal="left"/>
      <protection locked="0"/>
    </xf>
    <xf numFmtId="164" fontId="4" fillId="0" borderId="9" xfId="0" applyFont="1" applyBorder="1" applyAlignment="1">
      <alignment horizontal="center" wrapText="1"/>
    </xf>
    <xf numFmtId="164" fontId="5" fillId="0" borderId="8" xfId="0" applyFont="1" applyBorder="1" applyAlignment="1">
      <alignment horizontal="centerContinuous" wrapText="1"/>
    </xf>
    <xf numFmtId="164" fontId="11" fillId="0" borderId="8" xfId="0" applyFont="1" applyBorder="1" applyAlignment="1">
      <alignment horizontal="centerContinuous" wrapText="1"/>
    </xf>
    <xf numFmtId="164" fontId="5" fillId="0" borderId="4" xfId="0" applyFont="1" applyBorder="1" applyAlignment="1">
      <alignment horizontal="centerContinuous" wrapText="1"/>
    </xf>
    <xf numFmtId="164" fontId="5" fillId="0" borderId="9" xfId="0" applyFont="1" applyBorder="1" applyAlignment="1">
      <alignment horizontal="centerContinuous" wrapText="1"/>
    </xf>
    <xf numFmtId="164" fontId="2" fillId="0" borderId="11" xfId="0" applyFont="1" applyBorder="1"/>
    <xf numFmtId="164" fontId="5" fillId="0" borderId="6" xfId="0" applyFont="1" applyBorder="1" applyAlignment="1">
      <alignment horizontal="centerContinuous"/>
    </xf>
    <xf numFmtId="164" fontId="2" fillId="0" borderId="5" xfId="0" applyFont="1" applyBorder="1"/>
    <xf numFmtId="164" fontId="7" fillId="0" borderId="3" xfId="0" applyFont="1" applyBorder="1" applyAlignment="1">
      <alignment horizontal="centerContinuous"/>
    </xf>
    <xf numFmtId="164" fontId="6" fillId="0" borderId="2" xfId="0" applyFont="1" applyBorder="1" applyAlignment="1">
      <alignment horizontal="centerContinuous"/>
    </xf>
    <xf numFmtId="164" fontId="5" fillId="0" borderId="2" xfId="0" applyFont="1" applyBorder="1" applyAlignment="1">
      <alignment horizontal="centerContinuous"/>
    </xf>
    <xf numFmtId="164" fontId="6" fillId="0" borderId="8" xfId="0" applyFont="1" applyBorder="1" applyAlignment="1">
      <alignment horizontal="centerContinuous"/>
    </xf>
    <xf numFmtId="0" fontId="0" fillId="0" borderId="0" xfId="0" applyNumberFormat="1"/>
    <xf numFmtId="164" fontId="2" fillId="0" borderId="0" xfId="0" applyFont="1"/>
    <xf numFmtId="0" fontId="12" fillId="4" borderId="13" xfId="0" applyNumberFormat="1" applyFont="1" applyFill="1" applyBorder="1" applyAlignment="1">
      <alignment horizontal="left"/>
    </xf>
    <xf numFmtId="164" fontId="2" fillId="0" borderId="0" xfId="0" applyFont="1" applyAlignment="1">
      <alignment horizontal="centerContinuous"/>
    </xf>
    <xf numFmtId="49" fontId="2" fillId="8" borderId="0" xfId="0" applyNumberFormat="1" applyFont="1" applyFill="1" applyAlignment="1" applyProtection="1">
      <alignment horizontal="center"/>
      <protection locked="0"/>
    </xf>
    <xf numFmtId="49" fontId="2" fillId="8" borderId="0" xfId="0" applyNumberFormat="1" applyFont="1" applyFill="1" applyAlignment="1" applyProtection="1">
      <alignment horizontal="left"/>
      <protection locked="0"/>
    </xf>
    <xf numFmtId="1" fontId="2" fillId="8" borderId="0" xfId="0" applyNumberFormat="1" applyFont="1" applyFill="1" applyAlignment="1" applyProtection="1">
      <alignment horizontal="center"/>
      <protection locked="0"/>
    </xf>
    <xf numFmtId="3" fontId="9" fillId="5" borderId="15" xfId="0" applyNumberFormat="1" applyFont="1" applyFill="1" applyBorder="1"/>
    <xf numFmtId="3" fontId="11" fillId="6" borderId="5" xfId="0" applyNumberFormat="1" applyFont="1" applyFill="1" applyBorder="1"/>
    <xf numFmtId="3" fontId="9" fillId="5" borderId="16" xfId="0" applyNumberFormat="1" applyFont="1" applyFill="1" applyBorder="1"/>
    <xf numFmtId="165" fontId="4" fillId="0" borderId="0" xfId="0" applyNumberFormat="1" applyFont="1" applyAlignment="1">
      <alignment horizontal="left" vertical="top"/>
    </xf>
    <xf numFmtId="164" fontId="4" fillId="0" borderId="0" xfId="0" applyFont="1" applyAlignment="1">
      <alignment horizontal="left" vertical="top"/>
    </xf>
    <xf numFmtId="3" fontId="5" fillId="2" borderId="3" xfId="0" applyNumberFormat="1" applyFont="1" applyFill="1" applyBorder="1" applyAlignment="1">
      <alignment horizontal="centerContinuous"/>
    </xf>
    <xf numFmtId="3" fontId="3" fillId="2" borderId="4" xfId="0" applyNumberFormat="1" applyFont="1" applyFill="1" applyBorder="1" applyAlignment="1">
      <alignment horizontal="centerContinuous"/>
    </xf>
    <xf numFmtId="49" fontId="4" fillId="9" borderId="5" xfId="0" applyNumberFormat="1" applyFont="1" applyFill="1" applyBorder="1" applyAlignment="1">
      <alignment horizontal="left" vertical="top"/>
    </xf>
    <xf numFmtId="49" fontId="4" fillId="9" borderId="0" xfId="0" applyNumberFormat="1" applyFont="1" applyFill="1" applyAlignment="1">
      <alignment horizontal="left" vertical="top"/>
    </xf>
    <xf numFmtId="49" fontId="10" fillId="4" borderId="12" xfId="0" applyNumberFormat="1" applyFont="1" applyFill="1" applyBorder="1" applyAlignment="1">
      <alignment horizontal="center"/>
    </xf>
    <xf numFmtId="49" fontId="10" fillId="4" borderId="13" xfId="0" applyNumberFormat="1" applyFont="1" applyFill="1" applyBorder="1" applyAlignment="1">
      <alignment horizontal="left"/>
    </xf>
    <xf numFmtId="0" fontId="10" fillId="4" borderId="13" xfId="0" applyNumberFormat="1" applyFont="1" applyFill="1" applyBorder="1" applyAlignment="1">
      <alignment horizontal="left" wrapText="1"/>
    </xf>
    <xf numFmtId="1" fontId="10" fillId="4" borderId="13" xfId="0" applyNumberFormat="1" applyFont="1" applyFill="1" applyBorder="1" applyAlignment="1">
      <alignment horizontal="center"/>
    </xf>
    <xf numFmtId="1" fontId="10" fillId="4" borderId="14" xfId="0" applyNumberFormat="1" applyFont="1" applyFill="1" applyBorder="1" applyAlignment="1">
      <alignment horizontal="center"/>
    </xf>
    <xf numFmtId="164" fontId="11" fillId="5" borderId="9" xfId="0" applyFont="1" applyFill="1" applyBorder="1" applyAlignment="1">
      <alignment horizontal="center" wrapText="1"/>
    </xf>
    <xf numFmtId="164" fontId="4" fillId="7" borderId="9" xfId="0" applyFont="1" applyFill="1" applyBorder="1" applyAlignment="1">
      <alignment horizontal="center" wrapText="1"/>
    </xf>
    <xf numFmtId="49" fontId="2" fillId="3" borderId="0" xfId="0" applyNumberFormat="1" applyFont="1" applyFill="1" applyAlignment="1">
      <alignment horizontal="center"/>
    </xf>
    <xf numFmtId="49" fontId="2" fillId="3" borderId="0" xfId="0" applyNumberFormat="1" applyFont="1" applyFill="1" applyAlignment="1">
      <alignment horizontal="left"/>
    </xf>
    <xf numFmtId="164" fontId="2" fillId="3" borderId="0" xfId="0" applyFont="1" applyFill="1" applyAlignment="1">
      <alignment horizontal="center" wrapText="1"/>
    </xf>
    <xf numFmtId="49" fontId="14" fillId="10" borderId="0" xfId="0" applyNumberFormat="1" applyFont="1" applyFill="1" applyAlignment="1" applyProtection="1">
      <alignment horizontal="center"/>
      <protection locked="0"/>
    </xf>
    <xf numFmtId="1" fontId="14" fillId="10" borderId="0" xfId="0" applyNumberFormat="1" applyFont="1" applyFill="1" applyAlignment="1" applyProtection="1">
      <alignment horizontal="center"/>
      <protection locked="0"/>
    </xf>
    <xf numFmtId="49" fontId="4" fillId="11" borderId="0" xfId="0" applyNumberFormat="1" applyFont="1" applyFill="1" applyAlignment="1" applyProtection="1">
      <alignment horizontal="left"/>
      <protection locked="0"/>
    </xf>
    <xf numFmtId="49" fontId="8" fillId="11" borderId="0" xfId="0" applyNumberFormat="1" applyFont="1" applyFill="1" applyAlignment="1" applyProtection="1">
      <alignment horizontal="left"/>
      <protection locked="0"/>
    </xf>
    <xf numFmtId="3" fontId="2" fillId="10" borderId="0" xfId="0" applyNumberFormat="1" applyFont="1" applyFill="1" applyAlignment="1" applyProtection="1">
      <alignment horizontal="left"/>
      <protection locked="0"/>
    </xf>
    <xf numFmtId="1" fontId="2" fillId="10" borderId="0" xfId="0" applyNumberFormat="1" applyFont="1" applyFill="1" applyAlignment="1" applyProtection="1">
      <alignment horizontal="center"/>
      <protection locked="0"/>
    </xf>
    <xf numFmtId="164" fontId="2" fillId="0" borderId="0" xfId="0" applyFont="1" applyAlignment="1">
      <alignment horizontal="left"/>
    </xf>
    <xf numFmtId="49" fontId="2" fillId="0" borderId="0" xfId="0" applyNumberFormat="1" applyFont="1" applyAlignment="1">
      <alignment horizontal="center"/>
    </xf>
    <xf numFmtId="49" fontId="2" fillId="0" borderId="0" xfId="0" applyNumberFormat="1" applyFont="1" applyAlignment="1">
      <alignment horizontal="left"/>
    </xf>
    <xf numFmtId="164" fontId="5" fillId="0" borderId="0" xfId="0" applyFont="1"/>
    <xf numFmtId="164" fontId="6" fillId="0" borderId="0" xfId="0" applyFont="1"/>
    <xf numFmtId="164" fontId="4" fillId="0" borderId="0" xfId="0" applyFont="1"/>
    <xf numFmtId="1" fontId="2" fillId="19" borderId="0" xfId="0" applyNumberFormat="1" applyFont="1" applyFill="1" applyAlignment="1" applyProtection="1">
      <alignment horizontal="center"/>
      <protection locked="0"/>
    </xf>
    <xf numFmtId="49" fontId="2" fillId="19" borderId="5" xfId="0" applyNumberFormat="1" applyFont="1" applyFill="1" applyBorder="1" applyAlignment="1" applyProtection="1">
      <alignment horizontal="center"/>
      <protection locked="0"/>
    </xf>
    <xf numFmtId="49" fontId="8" fillId="19" borderId="0" xfId="0" applyNumberFormat="1" applyFont="1" applyFill="1" applyAlignment="1" applyProtection="1">
      <alignment horizontal="left"/>
      <protection locked="0"/>
    </xf>
    <xf numFmtId="0" fontId="2" fillId="19" borderId="0" xfId="0" applyNumberFormat="1" applyFont="1" applyFill="1" applyAlignment="1" applyProtection="1">
      <alignment horizontal="left"/>
      <protection locked="0"/>
    </xf>
    <xf numFmtId="0" fontId="4" fillId="19" borderId="0" xfId="0" applyNumberFormat="1" applyFont="1" applyFill="1" applyAlignment="1" applyProtection="1">
      <alignment horizontal="left"/>
      <protection locked="0"/>
    </xf>
    <xf numFmtId="49" fontId="2" fillId="20" borderId="5" xfId="0" applyNumberFormat="1" applyFont="1" applyFill="1" applyBorder="1" applyAlignment="1" applyProtection="1">
      <alignment horizontal="center"/>
      <protection locked="0"/>
    </xf>
    <xf numFmtId="49" fontId="2" fillId="20" borderId="0" xfId="0" applyNumberFormat="1" applyFont="1" applyFill="1" applyAlignment="1" applyProtection="1">
      <alignment horizontal="left"/>
      <protection locked="0"/>
    </xf>
    <xf numFmtId="49" fontId="4" fillId="20" borderId="0" xfId="0" applyNumberFormat="1" applyFont="1" applyFill="1" applyAlignment="1" applyProtection="1">
      <alignment horizontal="left"/>
      <protection locked="0"/>
    </xf>
    <xf numFmtId="1" fontId="2" fillId="20" borderId="0" xfId="0" applyNumberFormat="1" applyFont="1" applyFill="1" applyAlignment="1" applyProtection="1">
      <alignment horizontal="center"/>
      <protection locked="0"/>
    </xf>
    <xf numFmtId="49" fontId="2" fillId="21" borderId="0" xfId="0" applyNumberFormat="1" applyFont="1" applyFill="1" applyAlignment="1" applyProtection="1">
      <alignment horizontal="center"/>
      <protection locked="0"/>
    </xf>
    <xf numFmtId="49" fontId="2" fillId="21" borderId="0" xfId="0" applyNumberFormat="1" applyFont="1" applyFill="1" applyAlignment="1" applyProtection="1">
      <alignment horizontal="left"/>
      <protection locked="0"/>
    </xf>
    <xf numFmtId="49" fontId="4" fillId="21" borderId="0" xfId="0" applyNumberFormat="1" applyFont="1" applyFill="1" applyAlignment="1" applyProtection="1">
      <alignment horizontal="left"/>
      <protection locked="0"/>
    </xf>
    <xf numFmtId="1" fontId="2" fillId="21" borderId="0" xfId="0" applyNumberFormat="1" applyFont="1" applyFill="1" applyAlignment="1" applyProtection="1">
      <alignment horizontal="center"/>
      <protection locked="0"/>
    </xf>
    <xf numFmtId="3" fontId="8" fillId="21" borderId="0" xfId="0" applyNumberFormat="1" applyFont="1" applyFill="1" applyAlignment="1" applyProtection="1">
      <alignment horizontal="left"/>
      <protection locked="0"/>
    </xf>
    <xf numFmtId="49" fontId="8" fillId="21" borderId="0" xfId="0" applyNumberFormat="1" applyFont="1" applyFill="1" applyAlignment="1" applyProtection="1">
      <alignment horizontal="left"/>
      <protection locked="0"/>
    </xf>
    <xf numFmtId="49" fontId="18" fillId="21" borderId="0" xfId="0" applyNumberFormat="1" applyFont="1" applyFill="1" applyAlignment="1" applyProtection="1">
      <alignment horizontal="left"/>
      <protection locked="0"/>
    </xf>
    <xf numFmtId="1" fontId="8" fillId="22" borderId="0" xfId="0" applyNumberFormat="1" applyFont="1" applyFill="1" applyAlignment="1" applyProtection="1">
      <alignment horizontal="center"/>
      <protection locked="0"/>
    </xf>
    <xf numFmtId="1" fontId="2" fillId="22" borderId="0" xfId="0" applyNumberFormat="1" applyFont="1" applyFill="1" applyAlignment="1" applyProtection="1">
      <alignment horizontal="center"/>
      <protection locked="0"/>
    </xf>
    <xf numFmtId="49" fontId="2" fillId="23" borderId="5" xfId="0" applyNumberFormat="1" applyFont="1" applyFill="1" applyBorder="1" applyAlignment="1" applyProtection="1">
      <alignment horizontal="center"/>
      <protection locked="0"/>
    </xf>
    <xf numFmtId="49" fontId="2" fillId="24" borderId="0" xfId="0" applyNumberFormat="1" applyFont="1" applyFill="1" applyAlignment="1" applyProtection="1">
      <alignment horizontal="left"/>
      <protection locked="0"/>
    </xf>
    <xf numFmtId="49" fontId="4" fillId="23" borderId="0" xfId="0" applyNumberFormat="1" applyFont="1" applyFill="1" applyAlignment="1" applyProtection="1">
      <alignment horizontal="left"/>
      <protection locked="0"/>
    </xf>
    <xf numFmtId="49" fontId="2" fillId="23" borderId="0" xfId="0" applyNumberFormat="1" applyFont="1" applyFill="1" applyAlignment="1" applyProtection="1">
      <alignment horizontal="center"/>
      <protection locked="0"/>
    </xf>
    <xf numFmtId="1" fontId="2" fillId="23" borderId="0" xfId="0" applyNumberFormat="1" applyFont="1" applyFill="1" applyAlignment="1" applyProtection="1">
      <alignment horizontal="center"/>
      <protection locked="0"/>
    </xf>
    <xf numFmtId="49" fontId="2" fillId="23" borderId="0" xfId="0" applyNumberFormat="1" applyFont="1" applyFill="1" applyAlignment="1" applyProtection="1">
      <alignment horizontal="left"/>
      <protection locked="0"/>
    </xf>
    <xf numFmtId="49" fontId="8" fillId="23" borderId="0" xfId="0" applyNumberFormat="1" applyFont="1" applyFill="1" applyAlignment="1" applyProtection="1">
      <alignment horizontal="left"/>
      <protection locked="0"/>
    </xf>
    <xf numFmtId="0" fontId="2" fillId="23" borderId="0" xfId="0" applyNumberFormat="1" applyFont="1" applyFill="1" applyAlignment="1" applyProtection="1">
      <alignment horizontal="center"/>
      <protection locked="0"/>
    </xf>
    <xf numFmtId="1" fontId="8" fillId="23" borderId="0" xfId="0" applyNumberFormat="1" applyFont="1" applyFill="1" applyAlignment="1" applyProtection="1">
      <alignment horizontal="center"/>
      <protection locked="0"/>
    </xf>
    <xf numFmtId="1" fontId="2" fillId="25" borderId="0" xfId="0" applyNumberFormat="1" applyFont="1" applyFill="1" applyAlignment="1" applyProtection="1">
      <alignment horizontal="center"/>
      <protection locked="0"/>
    </xf>
    <xf numFmtId="49" fontId="2" fillId="10" borderId="5" xfId="0" applyNumberFormat="1" applyFont="1" applyFill="1" applyBorder="1" applyAlignment="1" applyProtection="1">
      <alignment horizontal="center"/>
      <protection locked="0"/>
    </xf>
    <xf numFmtId="49" fontId="2" fillId="10" borderId="0" xfId="0" applyNumberFormat="1" applyFont="1" applyFill="1" applyAlignment="1" applyProtection="1">
      <alignment horizontal="left"/>
      <protection locked="0"/>
    </xf>
    <xf numFmtId="49" fontId="2" fillId="27" borderId="0" xfId="0" applyNumberFormat="1" applyFont="1" applyFill="1" applyAlignment="1" applyProtection="1">
      <alignment horizontal="left"/>
      <protection locked="0"/>
    </xf>
    <xf numFmtId="1" fontId="2" fillId="27" borderId="0" xfId="0" applyNumberFormat="1" applyFont="1" applyFill="1" applyAlignment="1" applyProtection="1">
      <alignment horizontal="center"/>
      <protection locked="0"/>
    </xf>
    <xf numFmtId="49" fontId="2" fillId="10" borderId="0" xfId="0" applyNumberFormat="1" applyFont="1" applyFill="1" applyAlignment="1" applyProtection="1">
      <alignment horizontal="center"/>
      <protection locked="0"/>
    </xf>
    <xf numFmtId="49" fontId="2" fillId="11" borderId="0" xfId="0" applyNumberFormat="1" applyFont="1" applyFill="1" applyAlignment="1" applyProtection="1">
      <alignment horizontal="left"/>
      <protection locked="0"/>
    </xf>
    <xf numFmtId="49" fontId="2" fillId="15" borderId="0" xfId="0" applyNumberFormat="1" applyFont="1" applyFill="1" applyAlignment="1" applyProtection="1">
      <alignment horizontal="center"/>
      <protection locked="0"/>
    </xf>
    <xf numFmtId="1" fontId="2" fillId="18" borderId="0" xfId="0" applyNumberFormat="1" applyFont="1" applyFill="1" applyAlignment="1" applyProtection="1">
      <alignment horizontal="center"/>
      <protection locked="0"/>
    </xf>
    <xf numFmtId="49" fontId="2" fillId="28" borderId="5" xfId="0" applyNumberFormat="1" applyFont="1" applyFill="1" applyBorder="1" applyAlignment="1" applyProtection="1">
      <alignment horizontal="center"/>
      <protection locked="0"/>
    </xf>
    <xf numFmtId="49" fontId="2" fillId="28" borderId="0" xfId="0" applyNumberFormat="1" applyFont="1" applyFill="1" applyAlignment="1" applyProtection="1">
      <alignment horizontal="left"/>
      <protection locked="0"/>
    </xf>
    <xf numFmtId="49" fontId="4" fillId="28" borderId="0" xfId="0" applyNumberFormat="1" applyFont="1" applyFill="1" applyAlignment="1" applyProtection="1">
      <alignment horizontal="left"/>
      <protection locked="0"/>
    </xf>
    <xf numFmtId="1" fontId="2" fillId="28" borderId="0" xfId="0" applyNumberFormat="1" applyFont="1" applyFill="1" applyAlignment="1" applyProtection="1">
      <alignment horizontal="center"/>
      <protection locked="0"/>
    </xf>
    <xf numFmtId="49" fontId="2" fillId="28" borderId="0" xfId="0" applyNumberFormat="1" applyFont="1" applyFill="1" applyAlignment="1" applyProtection="1">
      <alignment horizontal="center"/>
      <protection locked="0"/>
    </xf>
    <xf numFmtId="49" fontId="8" fillId="28" borderId="0" xfId="0" applyNumberFormat="1" applyFont="1" applyFill="1" applyAlignment="1" applyProtection="1">
      <alignment horizontal="left"/>
      <protection locked="0"/>
    </xf>
    <xf numFmtId="3" fontId="2" fillId="28" borderId="0" xfId="0" applyNumberFormat="1" applyFont="1" applyFill="1" applyAlignment="1" applyProtection="1">
      <alignment horizontal="left"/>
      <protection locked="0"/>
    </xf>
    <xf numFmtId="3" fontId="4" fillId="28" borderId="0" xfId="0" applyNumberFormat="1" applyFont="1" applyFill="1" applyAlignment="1" applyProtection="1">
      <alignment horizontal="left"/>
      <protection locked="0"/>
    </xf>
    <xf numFmtId="1" fontId="2" fillId="29" borderId="0" xfId="0" applyNumberFormat="1" applyFont="1" applyFill="1" applyAlignment="1" applyProtection="1">
      <alignment horizontal="center"/>
      <protection locked="0"/>
    </xf>
    <xf numFmtId="49" fontId="2" fillId="29" borderId="0" xfId="0" applyNumberFormat="1" applyFont="1" applyFill="1" applyAlignment="1" applyProtection="1">
      <alignment horizontal="left"/>
      <protection locked="0"/>
    </xf>
    <xf numFmtId="49" fontId="4" fillId="29" borderId="0" xfId="0" applyNumberFormat="1" applyFont="1" applyFill="1" applyAlignment="1" applyProtection="1">
      <alignment horizontal="left"/>
      <protection locked="0"/>
    </xf>
    <xf numFmtId="1" fontId="8" fillId="28" borderId="0" xfId="0" applyNumberFormat="1" applyFont="1" applyFill="1" applyAlignment="1" applyProtection="1">
      <alignment horizontal="center"/>
      <protection locked="0"/>
    </xf>
    <xf numFmtId="164" fontId="19" fillId="30" borderId="0" xfId="0" applyFont="1" applyFill="1" applyAlignment="1" applyProtection="1">
      <alignment horizontal="left"/>
      <protection locked="0"/>
    </xf>
    <xf numFmtId="1" fontId="2" fillId="31" borderId="0" xfId="0" applyNumberFormat="1" applyFont="1" applyFill="1" applyAlignment="1" applyProtection="1">
      <alignment horizontal="center"/>
      <protection locked="0"/>
    </xf>
    <xf numFmtId="164" fontId="2" fillId="19" borderId="0" xfId="0" applyFont="1" applyFill="1" applyAlignment="1" applyProtection="1">
      <alignment horizontal="left"/>
      <protection locked="0"/>
    </xf>
    <xf numFmtId="49" fontId="2" fillId="20" borderId="0" xfId="0" applyNumberFormat="1" applyFont="1" applyFill="1" applyAlignment="1" applyProtection="1">
      <alignment horizontal="center"/>
      <protection locked="0"/>
    </xf>
    <xf numFmtId="164" fontId="19" fillId="32" borderId="0" xfId="0" applyFont="1" applyFill="1" applyAlignment="1" applyProtection="1">
      <alignment horizontal="left"/>
      <protection locked="0"/>
    </xf>
    <xf numFmtId="49" fontId="2" fillId="21" borderId="5" xfId="0" applyNumberFormat="1" applyFont="1" applyFill="1" applyBorder="1" applyAlignment="1" applyProtection="1">
      <alignment horizontal="center"/>
      <protection locked="0"/>
    </xf>
    <xf numFmtId="0" fontId="2" fillId="21" borderId="0" xfId="0" applyNumberFormat="1" applyFont="1" applyFill="1" applyAlignment="1" applyProtection="1">
      <alignment horizontal="center"/>
      <protection locked="0"/>
    </xf>
    <xf numFmtId="1" fontId="2" fillId="33" borderId="0" xfId="0" applyNumberFormat="1" applyFont="1" applyFill="1" applyAlignment="1" applyProtection="1">
      <alignment horizontal="center"/>
      <protection locked="0"/>
    </xf>
    <xf numFmtId="49" fontId="2" fillId="34" borderId="5" xfId="0" applyNumberFormat="1" applyFont="1" applyFill="1" applyBorder="1" applyAlignment="1" applyProtection="1">
      <alignment horizontal="center"/>
      <protection locked="0"/>
    </xf>
    <xf numFmtId="49" fontId="2" fillId="34" borderId="0" xfId="0" applyNumberFormat="1" applyFont="1" applyFill="1" applyAlignment="1" applyProtection="1">
      <alignment horizontal="left"/>
      <protection locked="0"/>
    </xf>
    <xf numFmtId="49" fontId="4" fillId="34" borderId="0" xfId="0" applyNumberFormat="1" applyFont="1" applyFill="1" applyAlignment="1" applyProtection="1">
      <alignment horizontal="left"/>
      <protection locked="0"/>
    </xf>
    <xf numFmtId="1" fontId="2" fillId="34" borderId="0" xfId="0" applyNumberFormat="1" applyFont="1" applyFill="1" applyAlignment="1" applyProtection="1">
      <alignment horizontal="center"/>
      <protection locked="0"/>
    </xf>
    <xf numFmtId="49" fontId="8" fillId="34" borderId="0" xfId="0" applyNumberFormat="1" applyFont="1" applyFill="1" applyAlignment="1" applyProtection="1">
      <alignment horizontal="left"/>
      <protection locked="0"/>
    </xf>
    <xf numFmtId="3" fontId="2" fillId="23" borderId="0" xfId="0" applyNumberFormat="1" applyFont="1" applyFill="1" applyAlignment="1" applyProtection="1">
      <alignment horizontal="left"/>
      <protection locked="0"/>
    </xf>
    <xf numFmtId="3" fontId="4" fillId="23" borderId="0" xfId="0" applyNumberFormat="1" applyFont="1" applyFill="1" applyAlignment="1" applyProtection="1">
      <alignment horizontal="left"/>
      <protection locked="0"/>
    </xf>
    <xf numFmtId="1" fontId="4" fillId="23" borderId="0" xfId="0" applyNumberFormat="1" applyFont="1" applyFill="1" applyAlignment="1" applyProtection="1">
      <alignment horizontal="center"/>
      <protection locked="0"/>
    </xf>
    <xf numFmtId="49" fontId="4" fillId="35" borderId="0" xfId="0" applyNumberFormat="1" applyFont="1" applyFill="1" applyAlignment="1" applyProtection="1">
      <alignment horizontal="left"/>
      <protection locked="0"/>
    </xf>
    <xf numFmtId="49" fontId="8" fillId="35" borderId="0" xfId="0" applyNumberFormat="1" applyFont="1" applyFill="1" applyAlignment="1" applyProtection="1">
      <alignment horizontal="left"/>
      <protection locked="0"/>
    </xf>
    <xf numFmtId="1" fontId="8" fillId="35" borderId="0" xfId="0" applyNumberFormat="1" applyFont="1" applyFill="1" applyAlignment="1" applyProtection="1">
      <alignment horizontal="center"/>
      <protection locked="0"/>
    </xf>
    <xf numFmtId="49" fontId="4" fillId="10" borderId="0" xfId="0" applyNumberFormat="1" applyFont="1" applyFill="1" applyAlignment="1" applyProtection="1">
      <alignment horizontal="left"/>
      <protection locked="0"/>
    </xf>
    <xf numFmtId="49" fontId="2" fillId="27" borderId="0" xfId="0" applyNumberFormat="1" applyFont="1" applyFill="1" applyAlignment="1" applyProtection="1">
      <alignment horizontal="center"/>
      <protection locked="0"/>
    </xf>
    <xf numFmtId="49" fontId="8" fillId="10" borderId="0" xfId="0" applyNumberFormat="1" applyFont="1" applyFill="1" applyAlignment="1" applyProtection="1">
      <alignment horizontal="left"/>
      <protection locked="0"/>
    </xf>
    <xf numFmtId="1" fontId="2" fillId="36" borderId="0" xfId="0" applyNumberFormat="1" applyFont="1" applyFill="1" applyAlignment="1" applyProtection="1">
      <alignment horizontal="center"/>
      <protection locked="0"/>
    </xf>
    <xf numFmtId="49" fontId="2" fillId="17" borderId="0" xfId="0" applyNumberFormat="1" applyFont="1" applyFill="1" applyAlignment="1" applyProtection="1">
      <alignment horizontal="left"/>
      <protection locked="0"/>
    </xf>
    <xf numFmtId="1" fontId="2" fillId="17" borderId="0" xfId="0" applyNumberFormat="1" applyFont="1" applyFill="1" applyAlignment="1" applyProtection="1">
      <alignment horizontal="center"/>
      <protection locked="0"/>
    </xf>
    <xf numFmtId="49" fontId="8" fillId="14" borderId="0" xfId="0" applyNumberFormat="1" applyFont="1" applyFill="1" applyAlignment="1" applyProtection="1">
      <alignment horizontal="left"/>
      <protection locked="0"/>
    </xf>
    <xf numFmtId="49" fontId="14" fillId="28" borderId="0" xfId="0" applyNumberFormat="1" applyFont="1" applyFill="1" applyAlignment="1" applyProtection="1">
      <alignment horizontal="center"/>
      <protection locked="0"/>
    </xf>
    <xf numFmtId="1" fontId="14" fillId="28" borderId="0" xfId="0" applyNumberFormat="1" applyFont="1" applyFill="1" applyAlignment="1" applyProtection="1">
      <alignment horizontal="center"/>
      <protection locked="0"/>
    </xf>
    <xf numFmtId="164" fontId="20" fillId="29" borderId="0" xfId="0" applyFont="1" applyFill="1" applyAlignment="1" applyProtection="1">
      <alignment horizontal="left"/>
      <protection locked="0"/>
    </xf>
    <xf numFmtId="164" fontId="19" fillId="29" borderId="0" xfId="0" applyFont="1" applyFill="1" applyAlignment="1" applyProtection="1">
      <alignment horizontal="left"/>
      <protection locked="0"/>
    </xf>
    <xf numFmtId="1" fontId="8" fillId="29" borderId="0" xfId="0" applyNumberFormat="1" applyFont="1" applyFill="1" applyAlignment="1" applyProtection="1">
      <alignment horizontal="center"/>
      <protection locked="0"/>
    </xf>
    <xf numFmtId="164" fontId="20" fillId="30" borderId="0" xfId="0" applyFont="1" applyFill="1" applyAlignment="1" applyProtection="1">
      <alignment horizontal="left"/>
      <protection locked="0"/>
    </xf>
    <xf numFmtId="49" fontId="2" fillId="37" borderId="0" xfId="0" applyNumberFormat="1" applyFont="1" applyFill="1" applyAlignment="1" applyProtection="1">
      <alignment horizontal="left"/>
      <protection locked="0"/>
    </xf>
    <xf numFmtId="164" fontId="20" fillId="32" borderId="0" xfId="0" applyFont="1" applyFill="1" applyAlignment="1" applyProtection="1">
      <alignment horizontal="left"/>
      <protection locked="0"/>
    </xf>
    <xf numFmtId="1" fontId="8" fillId="20" borderId="0" xfId="0" applyNumberFormat="1" applyFont="1" applyFill="1" applyAlignment="1" applyProtection="1">
      <alignment horizontal="center"/>
      <protection locked="0"/>
    </xf>
    <xf numFmtId="37" fontId="2" fillId="37" borderId="0" xfId="0" applyNumberFormat="1" applyFont="1" applyFill="1" applyAlignment="1" applyProtection="1">
      <alignment horizontal="left"/>
      <protection locked="0"/>
    </xf>
    <xf numFmtId="3" fontId="2" fillId="20" borderId="0" xfId="0" applyNumberFormat="1" applyFont="1" applyFill="1" applyAlignment="1" applyProtection="1">
      <alignment horizontal="left"/>
      <protection locked="0"/>
    </xf>
    <xf numFmtId="1" fontId="2" fillId="38" borderId="0" xfId="0" applyNumberFormat="1" applyFont="1" applyFill="1" applyAlignment="1" applyProtection="1">
      <alignment horizontal="center"/>
      <protection locked="0"/>
    </xf>
    <xf numFmtId="49" fontId="8" fillId="20" borderId="0" xfId="0" applyNumberFormat="1" applyFont="1" applyFill="1" applyAlignment="1" applyProtection="1">
      <alignment horizontal="left"/>
      <protection locked="0"/>
    </xf>
    <xf numFmtId="1" fontId="4" fillId="20" borderId="0" xfId="0" applyNumberFormat="1" applyFont="1" applyFill="1" applyAlignment="1" applyProtection="1">
      <alignment horizontal="center"/>
      <protection locked="0"/>
    </xf>
    <xf numFmtId="164" fontId="20" fillId="22" borderId="0" xfId="0" applyFont="1" applyFill="1" applyAlignment="1" applyProtection="1">
      <alignment horizontal="left"/>
      <protection locked="0"/>
    </xf>
    <xf numFmtId="164" fontId="2" fillId="21" borderId="0" xfId="0" applyFont="1" applyFill="1" applyAlignment="1" applyProtection="1">
      <alignment horizontal="left"/>
      <protection locked="0"/>
    </xf>
    <xf numFmtId="164" fontId="19" fillId="22" borderId="0" xfId="0" applyFont="1" applyFill="1" applyAlignment="1" applyProtection="1">
      <alignment horizontal="left"/>
      <protection locked="0"/>
    </xf>
    <xf numFmtId="0" fontId="2" fillId="34" borderId="0" xfId="0" applyNumberFormat="1" applyFont="1" applyFill="1" applyAlignment="1" applyProtection="1">
      <alignment horizontal="center"/>
      <protection locked="0"/>
    </xf>
    <xf numFmtId="164" fontId="19" fillId="39" borderId="0" xfId="0" applyFont="1" applyFill="1" applyAlignment="1" applyProtection="1">
      <alignment horizontal="left"/>
      <protection locked="0"/>
    </xf>
    <xf numFmtId="164" fontId="20" fillId="39" borderId="0" xfId="0" applyFont="1" applyFill="1" applyAlignment="1" applyProtection="1">
      <alignment horizontal="left"/>
      <protection locked="0"/>
    </xf>
    <xf numFmtId="164" fontId="2" fillId="34" borderId="0" xfId="0" applyFont="1" applyFill="1" applyAlignment="1" applyProtection="1">
      <alignment horizontal="left"/>
      <protection locked="0"/>
    </xf>
    <xf numFmtId="164" fontId="4" fillId="34" borderId="0" xfId="0" applyFont="1" applyFill="1" applyAlignment="1" applyProtection="1">
      <alignment horizontal="left"/>
      <protection locked="0"/>
    </xf>
    <xf numFmtId="49" fontId="2" fillId="40" borderId="0" xfId="0" applyNumberFormat="1" applyFont="1" applyFill="1" applyAlignment="1" applyProtection="1">
      <alignment horizontal="left"/>
      <protection locked="0"/>
    </xf>
    <xf numFmtId="1" fontId="2" fillId="40" borderId="0" xfId="0" applyNumberFormat="1" applyFont="1" applyFill="1" applyAlignment="1" applyProtection="1">
      <alignment horizontal="center"/>
      <protection locked="0"/>
    </xf>
    <xf numFmtId="49" fontId="14" fillId="23" borderId="0" xfId="0" applyNumberFormat="1" applyFont="1" applyFill="1" applyAlignment="1" applyProtection="1">
      <alignment horizontal="center"/>
      <protection locked="0"/>
    </xf>
    <xf numFmtId="49" fontId="14" fillId="23" borderId="0" xfId="0" applyNumberFormat="1" applyFont="1" applyFill="1" applyAlignment="1" applyProtection="1">
      <alignment horizontal="left"/>
      <protection locked="0"/>
    </xf>
    <xf numFmtId="1" fontId="14" fillId="23" borderId="0" xfId="0" applyNumberFormat="1" applyFont="1" applyFill="1" applyAlignment="1" applyProtection="1">
      <alignment horizontal="center"/>
      <protection locked="0"/>
    </xf>
    <xf numFmtId="49" fontId="14" fillId="23" borderId="5" xfId="0" applyNumberFormat="1" applyFont="1" applyFill="1" applyBorder="1" applyAlignment="1" applyProtection="1">
      <alignment horizontal="center"/>
      <protection locked="0"/>
    </xf>
    <xf numFmtId="0" fontId="21" fillId="0" borderId="17" xfId="8" applyFont="1" applyBorder="1"/>
    <xf numFmtId="0" fontId="21" fillId="0" borderId="18" xfId="8" applyFont="1" applyBorder="1"/>
    <xf numFmtId="9" fontId="21" fillId="0" borderId="19" xfId="8" applyNumberFormat="1" applyFont="1" applyBorder="1"/>
    <xf numFmtId="9" fontId="21" fillId="0" borderId="18" xfId="8" applyNumberFormat="1" applyFont="1" applyBorder="1"/>
    <xf numFmtId="9" fontId="21" fillId="0" borderId="20" xfId="8" applyNumberFormat="1" applyFont="1" applyBorder="1"/>
    <xf numFmtId="0" fontId="1" fillId="0" borderId="5" xfId="8" applyBorder="1"/>
    <xf numFmtId="0" fontId="21" fillId="0" borderId="0" xfId="8" applyFont="1"/>
    <xf numFmtId="0" fontId="21" fillId="0" borderId="21" xfId="8" applyFont="1" applyBorder="1"/>
    <xf numFmtId="0" fontId="21" fillId="0" borderId="22" xfId="8" applyFont="1" applyBorder="1"/>
    <xf numFmtId="0" fontId="21" fillId="0" borderId="23" xfId="8" applyFont="1" applyBorder="1"/>
    <xf numFmtId="0" fontId="21" fillId="0" borderId="24" xfId="8" applyFont="1" applyBorder="1"/>
    <xf numFmtId="9" fontId="21" fillId="0" borderId="25" xfId="8" applyNumberFormat="1" applyFont="1" applyBorder="1"/>
    <xf numFmtId="9" fontId="21" fillId="0" borderId="17" xfId="8" applyNumberFormat="1" applyFont="1" applyBorder="1"/>
    <xf numFmtId="0" fontId="21" fillId="0" borderId="19" xfId="8" applyFont="1" applyBorder="1"/>
    <xf numFmtId="0" fontId="21" fillId="0" borderId="26" xfId="8" applyFont="1" applyBorder="1"/>
    <xf numFmtId="0" fontId="21" fillId="0" borderId="27" xfId="8" applyFont="1" applyBorder="1"/>
    <xf numFmtId="0" fontId="21" fillId="0" borderId="5" xfId="8" applyFont="1" applyBorder="1"/>
    <xf numFmtId="9" fontId="21" fillId="0" borderId="28" xfId="8" applyNumberFormat="1" applyFont="1" applyBorder="1"/>
    <xf numFmtId="9" fontId="21" fillId="0" borderId="29" xfId="8" applyNumberFormat="1" applyFont="1" applyBorder="1"/>
    <xf numFmtId="0" fontId="22" fillId="0" borderId="17" xfId="8" applyFont="1" applyBorder="1"/>
    <xf numFmtId="166" fontId="21" fillId="0" borderId="17" xfId="8" applyNumberFormat="1" applyFont="1" applyBorder="1"/>
    <xf numFmtId="166" fontId="21" fillId="0" borderId="19" xfId="8" applyNumberFormat="1" applyFont="1" applyBorder="1"/>
    <xf numFmtId="166" fontId="21" fillId="0" borderId="30" xfId="8" applyNumberFormat="1" applyFont="1" applyBorder="1"/>
    <xf numFmtId="0" fontId="22" fillId="0" borderId="26" xfId="8" applyFont="1" applyBorder="1"/>
    <xf numFmtId="0" fontId="21" fillId="0" borderId="31" xfId="8" applyFont="1" applyBorder="1"/>
    <xf numFmtId="166" fontId="21" fillId="0" borderId="31" xfId="8" applyNumberFormat="1" applyFont="1" applyBorder="1"/>
    <xf numFmtId="166" fontId="21" fillId="0" borderId="0" xfId="8" applyNumberFormat="1" applyFont="1"/>
    <xf numFmtId="166" fontId="21" fillId="0" borderId="32" xfId="8" applyNumberFormat="1" applyFont="1" applyBorder="1"/>
    <xf numFmtId="0" fontId="1" fillId="0" borderId="32" xfId="8" applyBorder="1"/>
    <xf numFmtId="0" fontId="22" fillId="0" borderId="33" xfId="8" applyFont="1" applyBorder="1" applyAlignment="1">
      <alignment horizontal="right"/>
    </xf>
    <xf numFmtId="167" fontId="22" fillId="0" borderId="33" xfId="8" applyNumberFormat="1" applyFont="1" applyBorder="1"/>
    <xf numFmtId="167" fontId="22" fillId="0" borderId="1" xfId="8" applyNumberFormat="1" applyFont="1" applyBorder="1"/>
    <xf numFmtId="167" fontId="22" fillId="0" borderId="7" xfId="8" applyNumberFormat="1" applyFont="1" applyBorder="1"/>
    <xf numFmtId="167" fontId="22" fillId="41" borderId="1" xfId="8" applyNumberFormat="1" applyFont="1" applyFill="1" applyBorder="1"/>
    <xf numFmtId="167" fontId="22" fillId="0" borderId="34" xfId="8" applyNumberFormat="1" applyFont="1" applyBorder="1"/>
    <xf numFmtId="166" fontId="21" fillId="41" borderId="0" xfId="8" applyNumberFormat="1" applyFont="1" applyFill="1"/>
    <xf numFmtId="168" fontId="21" fillId="0" borderId="0" xfId="9" applyNumberFormat="1" applyFont="1"/>
    <xf numFmtId="166" fontId="21" fillId="41" borderId="31" xfId="8" applyNumberFormat="1" applyFont="1" applyFill="1" applyBorder="1"/>
    <xf numFmtId="0" fontId="22" fillId="0" borderId="35" xfId="8" applyFont="1" applyBorder="1" applyAlignment="1">
      <alignment horizontal="right"/>
    </xf>
    <xf numFmtId="167" fontId="22" fillId="0" borderId="35" xfId="8" applyNumberFormat="1" applyFont="1" applyBorder="1"/>
    <xf numFmtId="167" fontId="22" fillId="0" borderId="36" xfId="8" applyNumberFormat="1" applyFont="1" applyBorder="1"/>
    <xf numFmtId="167" fontId="22" fillId="0" borderId="37" xfId="8" applyNumberFormat="1" applyFont="1" applyBorder="1"/>
    <xf numFmtId="0" fontId="22" fillId="0" borderId="38" xfId="8" applyFont="1" applyBorder="1"/>
    <xf numFmtId="0" fontId="22" fillId="0" borderId="38" xfId="8" applyFont="1" applyBorder="1" applyAlignment="1">
      <alignment horizontal="right"/>
    </xf>
    <xf numFmtId="167" fontId="22" fillId="0" borderId="38" xfId="8" applyNumberFormat="1" applyFont="1" applyBorder="1"/>
    <xf numFmtId="167" fontId="22" fillId="0" borderId="39" xfId="8" applyNumberFormat="1" applyFont="1" applyBorder="1"/>
    <xf numFmtId="167" fontId="22" fillId="0" borderId="40" xfId="8" applyNumberFormat="1" applyFont="1" applyBorder="1"/>
    <xf numFmtId="0" fontId="22" fillId="0" borderId="31" xfId="8" applyFont="1" applyBorder="1"/>
    <xf numFmtId="0" fontId="23" fillId="0" borderId="0" xfId="8" applyFont="1"/>
    <xf numFmtId="167" fontId="22" fillId="41" borderId="34" xfId="8" applyNumberFormat="1" applyFont="1" applyFill="1" applyBorder="1"/>
    <xf numFmtId="167" fontId="22" fillId="41" borderId="33" xfId="8" applyNumberFormat="1" applyFont="1" applyFill="1" applyBorder="1"/>
    <xf numFmtId="168" fontId="21" fillId="0" borderId="0" xfId="10" applyNumberFormat="1" applyFont="1"/>
    <xf numFmtId="0" fontId="22" fillId="0" borderId="33" xfId="8" applyFont="1" applyBorder="1"/>
    <xf numFmtId="165" fontId="21" fillId="0" borderId="0" xfId="9" applyNumberFormat="1" applyFont="1"/>
    <xf numFmtId="165" fontId="21" fillId="0" borderId="1" xfId="9" applyNumberFormat="1" applyFont="1" applyBorder="1"/>
    <xf numFmtId="0" fontId="1" fillId="0" borderId="17" xfId="8" applyBorder="1"/>
    <xf numFmtId="0" fontId="1" fillId="0" borderId="18" xfId="8" applyBorder="1"/>
    <xf numFmtId="9" fontId="21" fillId="0" borderId="41" xfId="8" applyNumberFormat="1" applyFont="1" applyBorder="1"/>
    <xf numFmtId="0" fontId="1" fillId="0" borderId="0" xfId="8"/>
    <xf numFmtId="0" fontId="21" fillId="0" borderId="30" xfId="8" applyFont="1" applyBorder="1"/>
    <xf numFmtId="0" fontId="21" fillId="0" borderId="25" xfId="8" applyFont="1" applyBorder="1"/>
    <xf numFmtId="0" fontId="1" fillId="0" borderId="42" xfId="8" applyBorder="1"/>
    <xf numFmtId="0" fontId="21" fillId="0" borderId="42" xfId="8" applyFont="1" applyBorder="1"/>
    <xf numFmtId="0" fontId="1" fillId="0" borderId="19" xfId="8" applyBorder="1"/>
    <xf numFmtId="0" fontId="21" fillId="0" borderId="43" xfId="8" applyFont="1" applyBorder="1"/>
    <xf numFmtId="0" fontId="21" fillId="0" borderId="44" xfId="8" applyFont="1" applyBorder="1"/>
    <xf numFmtId="0" fontId="21" fillId="0" borderId="29" xfId="8" applyFont="1" applyBorder="1"/>
    <xf numFmtId="0" fontId="21" fillId="0" borderId="28" xfId="8" applyFont="1" applyBorder="1"/>
    <xf numFmtId="3" fontId="1" fillId="0" borderId="0" xfId="8" applyNumberFormat="1"/>
    <xf numFmtId="3" fontId="21" fillId="0" borderId="0" xfId="8" applyNumberFormat="1" applyFont="1"/>
    <xf numFmtId="3" fontId="21" fillId="0" borderId="31" xfId="8" applyNumberFormat="1" applyFont="1" applyBorder="1"/>
    <xf numFmtId="3" fontId="21" fillId="0" borderId="32" xfId="8" applyNumberFormat="1" applyFont="1" applyBorder="1"/>
    <xf numFmtId="3" fontId="21" fillId="0" borderId="45" xfId="8" applyNumberFormat="1" applyFont="1" applyBorder="1"/>
    <xf numFmtId="3" fontId="21" fillId="0" borderId="0" xfId="9" applyNumberFormat="1" applyFont="1"/>
    <xf numFmtId="3" fontId="1" fillId="0" borderId="46" xfId="8" applyNumberFormat="1" applyBorder="1"/>
    <xf numFmtId="3" fontId="21" fillId="0" borderId="1" xfId="8" applyNumberFormat="1" applyFont="1" applyBorder="1"/>
    <xf numFmtId="3" fontId="21" fillId="0" borderId="33" xfId="8" applyNumberFormat="1" applyFont="1" applyBorder="1"/>
    <xf numFmtId="3" fontId="21" fillId="0" borderId="34" xfId="8" applyNumberFormat="1" applyFont="1" applyBorder="1"/>
    <xf numFmtId="3" fontId="21" fillId="0" borderId="47" xfId="8" applyNumberFormat="1" applyFont="1" applyBorder="1"/>
    <xf numFmtId="3" fontId="1" fillId="0" borderId="1" xfId="8" applyNumberFormat="1" applyBorder="1"/>
    <xf numFmtId="3" fontId="21" fillId="0" borderId="48" xfId="8" applyNumberFormat="1" applyFont="1" applyBorder="1"/>
    <xf numFmtId="3" fontId="21" fillId="0" borderId="49" xfId="8" applyNumberFormat="1" applyFont="1" applyBorder="1"/>
    <xf numFmtId="3" fontId="21" fillId="0" borderId="5" xfId="8" applyNumberFormat="1" applyFont="1" applyBorder="1"/>
    <xf numFmtId="3" fontId="21" fillId="0" borderId="7" xfId="8" applyNumberFormat="1" applyFont="1" applyBorder="1"/>
    <xf numFmtId="3" fontId="21" fillId="0" borderId="0" xfId="9" applyNumberFormat="1" applyFont="1" applyAlignment="1">
      <alignment horizontal="right"/>
    </xf>
    <xf numFmtId="3" fontId="2" fillId="0" borderId="0" xfId="9" applyNumberFormat="1" applyFont="1"/>
    <xf numFmtId="3" fontId="1" fillId="0" borderId="0" xfId="9" applyNumberFormat="1"/>
    <xf numFmtId="3" fontId="23" fillId="0" borderId="0" xfId="9" applyNumberFormat="1" applyFont="1"/>
    <xf numFmtId="165" fontId="0" fillId="0" borderId="5" xfId="10" applyNumberFormat="1" applyFont="1" applyBorder="1"/>
    <xf numFmtId="165" fontId="0" fillId="0" borderId="0" xfId="10" applyNumberFormat="1" applyFont="1"/>
    <xf numFmtId="165" fontId="0" fillId="10" borderId="0" xfId="10" applyNumberFormat="1" applyFont="1" applyFill="1"/>
    <xf numFmtId="165" fontId="0" fillId="15" borderId="0" xfId="10" applyNumberFormat="1" applyFont="1" applyFill="1"/>
    <xf numFmtId="165" fontId="0" fillId="19" borderId="5" xfId="10" applyNumberFormat="1" applyFont="1" applyFill="1" applyBorder="1"/>
    <xf numFmtId="165" fontId="0" fillId="19" borderId="0" xfId="10" applyNumberFormat="1" applyFont="1" applyFill="1"/>
    <xf numFmtId="165" fontId="0" fillId="0" borderId="53" xfId="10" applyNumberFormat="1" applyFont="1" applyBorder="1"/>
    <xf numFmtId="165" fontId="0" fillId="0" borderId="51" xfId="10" applyNumberFormat="1" applyFont="1" applyBorder="1"/>
    <xf numFmtId="165" fontId="0" fillId="10" borderId="51" xfId="10" applyNumberFormat="1" applyFont="1" applyFill="1" applyBorder="1"/>
    <xf numFmtId="165" fontId="0" fillId="15" borderId="51" xfId="10" applyNumberFormat="1" applyFont="1" applyFill="1" applyBorder="1"/>
    <xf numFmtId="165" fontId="0" fillId="19" borderId="53" xfId="10" applyNumberFormat="1" applyFont="1" applyFill="1" applyBorder="1"/>
    <xf numFmtId="165" fontId="0" fillId="19" borderId="51" xfId="10" applyNumberFormat="1" applyFont="1" applyFill="1" applyBorder="1"/>
    <xf numFmtId="164" fontId="4" fillId="0" borderId="0" xfId="0" applyFont="1" applyAlignment="1">
      <alignment horizontal="left"/>
    </xf>
    <xf numFmtId="164" fontId="0" fillId="0" borderId="0" xfId="0" applyAlignment="1">
      <alignment horizontal="left"/>
    </xf>
    <xf numFmtId="164" fontId="0" fillId="10" borderId="5" xfId="0" applyFill="1" applyBorder="1"/>
    <xf numFmtId="164" fontId="0" fillId="10" borderId="0" xfId="0" applyFill="1"/>
    <xf numFmtId="164" fontId="0" fillId="15" borderId="5" xfId="0" applyFill="1" applyBorder="1"/>
    <xf numFmtId="164" fontId="0" fillId="15" borderId="0" xfId="0" applyFill="1"/>
    <xf numFmtId="164" fontId="0" fillId="19" borderId="5" xfId="0" applyFill="1" applyBorder="1"/>
    <xf numFmtId="164" fontId="0" fillId="19" borderId="0" xfId="0" applyFill="1"/>
    <xf numFmtId="164" fontId="0" fillId="10" borderId="53" xfId="0" applyFill="1" applyBorder="1" applyAlignment="1">
      <alignment horizontal="centerContinuous"/>
    </xf>
    <xf numFmtId="164" fontId="0" fillId="10" borderId="52" xfId="0" applyFill="1" applyBorder="1" applyAlignment="1">
      <alignment horizontal="centerContinuous"/>
    </xf>
    <xf numFmtId="164" fontId="0" fillId="10" borderId="51" xfId="0" applyFill="1" applyBorder="1" applyAlignment="1">
      <alignment horizontal="centerContinuous"/>
    </xf>
    <xf numFmtId="164" fontId="0" fillId="15" borderId="53" xfId="0" applyFill="1" applyBorder="1" applyAlignment="1">
      <alignment horizontal="centerContinuous"/>
    </xf>
    <xf numFmtId="164" fontId="0" fillId="15" borderId="51" xfId="0" applyFill="1" applyBorder="1" applyAlignment="1">
      <alignment horizontal="centerContinuous"/>
    </xf>
    <xf numFmtId="164" fontId="0" fillId="19" borderId="53" xfId="0" applyFill="1" applyBorder="1" applyAlignment="1">
      <alignment horizontal="centerContinuous"/>
    </xf>
    <xf numFmtId="164" fontId="0" fillId="19" borderId="51" xfId="0" applyFill="1" applyBorder="1" applyAlignment="1">
      <alignment horizontal="centerContinuous"/>
    </xf>
    <xf numFmtId="1" fontId="0" fillId="42" borderId="51" xfId="0" applyNumberFormat="1" applyFill="1" applyBorder="1" applyAlignment="1">
      <alignment horizontal="left"/>
    </xf>
    <xf numFmtId="1" fontId="2" fillId="42" borderId="24" xfId="0" applyNumberFormat="1" applyFont="1" applyFill="1" applyBorder="1" applyAlignment="1">
      <alignment horizontal="center"/>
    </xf>
    <xf numFmtId="1" fontId="2" fillId="42" borderId="54" xfId="0" applyNumberFormat="1" applyFont="1" applyFill="1" applyBorder="1" applyAlignment="1">
      <alignment horizontal="center"/>
    </xf>
    <xf numFmtId="1" fontId="0" fillId="42" borderId="24" xfId="0" applyNumberFormat="1" applyFill="1" applyBorder="1" applyAlignment="1">
      <alignment horizontal="center"/>
    </xf>
    <xf numFmtId="1" fontId="0" fillId="42" borderId="54" xfId="0" applyNumberFormat="1" applyFill="1" applyBorder="1" applyAlignment="1">
      <alignment horizontal="center"/>
    </xf>
    <xf numFmtId="1" fontId="0" fillId="42" borderId="55" xfId="0" applyNumberFormat="1" applyFill="1" applyBorder="1" applyAlignment="1">
      <alignment horizontal="center"/>
    </xf>
    <xf numFmtId="1" fontId="0" fillId="42" borderId="0" xfId="0" applyNumberFormat="1" applyFill="1"/>
    <xf numFmtId="164" fontId="0" fillId="0" borderId="51" xfId="0" applyBorder="1" applyAlignment="1">
      <alignment horizontal="left"/>
    </xf>
    <xf numFmtId="164" fontId="0" fillId="42" borderId="0" xfId="0" applyFill="1" applyAlignment="1">
      <alignment horizontal="left"/>
    </xf>
    <xf numFmtId="164" fontId="0" fillId="42" borderId="0" xfId="0" applyFill="1"/>
    <xf numFmtId="37" fontId="7" fillId="0" borderId="0" xfId="8" applyNumberFormat="1" applyFont="1" applyAlignment="1">
      <alignment horizontal="centerContinuous"/>
    </xf>
    <xf numFmtId="0" fontId="24" fillId="0" borderId="0" xfId="8" applyFont="1" applyAlignment="1">
      <alignment horizontal="centerContinuous"/>
    </xf>
    <xf numFmtId="0" fontId="2" fillId="0" borderId="0" xfId="8" applyFont="1" applyAlignment="1">
      <alignment horizontal="centerContinuous"/>
    </xf>
    <xf numFmtId="165" fontId="25" fillId="0" borderId="0" xfId="10" applyNumberFormat="1" applyFont="1" applyAlignment="1">
      <alignment horizontal="left"/>
    </xf>
    <xf numFmtId="165" fontId="25" fillId="0" borderId="0" xfId="10" applyNumberFormat="1" applyFont="1" applyAlignment="1">
      <alignment horizontal="centerContinuous"/>
    </xf>
    <xf numFmtId="0" fontId="2" fillId="0" borderId="0" xfId="8" applyFont="1"/>
    <xf numFmtId="37" fontId="4" fillId="0" borderId="0" xfId="8" applyNumberFormat="1" applyFont="1" applyAlignment="1">
      <alignment horizontal="centerContinuous"/>
    </xf>
    <xf numFmtId="0" fontId="1" fillId="0" borderId="0" xfId="8" applyAlignment="1">
      <alignment vertical="top" wrapText="1"/>
    </xf>
    <xf numFmtId="37" fontId="27" fillId="0" borderId="0" xfId="8" applyNumberFormat="1" applyFont="1" applyAlignment="1">
      <alignment horizontal="centerContinuous"/>
    </xf>
    <xf numFmtId="165" fontId="28" fillId="0" borderId="0" xfId="10" applyNumberFormat="1" applyFont="1" applyAlignment="1">
      <alignment horizontal="left"/>
    </xf>
    <xf numFmtId="165" fontId="28" fillId="0" borderId="0" xfId="10" applyNumberFormat="1" applyFont="1" applyAlignment="1">
      <alignment horizontal="centerContinuous"/>
    </xf>
    <xf numFmtId="0" fontId="2" fillId="0" borderId="51" xfId="8" applyFont="1" applyBorder="1"/>
    <xf numFmtId="3" fontId="2" fillId="0" borderId="51" xfId="8" applyNumberFormat="1" applyFont="1" applyBorder="1"/>
    <xf numFmtId="0" fontId="2" fillId="0" borderId="51" xfId="8" applyFont="1" applyBorder="1" applyAlignment="1">
      <alignment horizontal="left"/>
    </xf>
    <xf numFmtId="3" fontId="2" fillId="0" borderId="0" xfId="8" applyNumberFormat="1" applyFont="1"/>
    <xf numFmtId="165" fontId="28" fillId="0" borderId="0" xfId="10" applyNumberFormat="1" applyFont="1"/>
    <xf numFmtId="37" fontId="29" fillId="0" borderId="0" xfId="8" applyNumberFormat="1" applyFont="1"/>
    <xf numFmtId="0" fontId="29" fillId="0" borderId="55" xfId="8" applyFont="1" applyBorder="1" applyAlignment="1">
      <alignment horizontal="centerContinuous"/>
    </xf>
    <xf numFmtId="0" fontId="29" fillId="0" borderId="0" xfId="8" applyFont="1" applyAlignment="1">
      <alignment horizontal="centerContinuous"/>
    </xf>
    <xf numFmtId="165" fontId="30" fillId="0" borderId="0" xfId="10" applyNumberFormat="1" applyFont="1" applyAlignment="1">
      <alignment horizontal="left"/>
    </xf>
    <xf numFmtId="165" fontId="31" fillId="0" borderId="0" xfId="10" applyNumberFormat="1" applyFont="1" applyAlignment="1">
      <alignment horizontal="centerContinuous"/>
    </xf>
    <xf numFmtId="0" fontId="29" fillId="0" borderId="0" xfId="8" applyFont="1"/>
    <xf numFmtId="0" fontId="29" fillId="0" borderId="24" xfId="8" applyFont="1" applyBorder="1" applyAlignment="1">
      <alignment horizontal="center"/>
    </xf>
    <xf numFmtId="0" fontId="29" fillId="0" borderId="55" xfId="8" applyFont="1" applyBorder="1" applyAlignment="1">
      <alignment horizontal="center"/>
    </xf>
    <xf numFmtId="0" fontId="29" fillId="0" borderId="27" xfId="8" applyFont="1" applyBorder="1" applyAlignment="1">
      <alignment horizontal="centerContinuous"/>
    </xf>
    <xf numFmtId="0" fontId="29" fillId="0" borderId="55" xfId="8" applyFont="1" applyBorder="1" applyAlignment="1">
      <alignment horizontal="center" wrapText="1"/>
    </xf>
    <xf numFmtId="0" fontId="29" fillId="0" borderId="54" xfId="8" applyFont="1" applyBorder="1" applyAlignment="1">
      <alignment horizontal="center" wrapText="1"/>
    </xf>
    <xf numFmtId="0" fontId="29" fillId="0" borderId="56" xfId="8" applyFont="1" applyBorder="1" applyAlignment="1">
      <alignment horizontal="center" wrapText="1"/>
    </xf>
    <xf numFmtId="0" fontId="29" fillId="0" borderId="24" xfId="8" applyFont="1" applyBorder="1" applyAlignment="1">
      <alignment horizontal="centerContinuous"/>
    </xf>
    <xf numFmtId="0" fontId="29" fillId="0" borderId="54" xfId="8" applyFont="1" applyBorder="1" applyAlignment="1">
      <alignment horizontal="centerContinuous"/>
    </xf>
    <xf numFmtId="0" fontId="29" fillId="0" borderId="53" xfId="8" applyFont="1" applyBorder="1" applyAlignment="1">
      <alignment horizontal="center" wrapText="1"/>
    </xf>
    <xf numFmtId="3" fontId="31" fillId="0" borderId="0" xfId="8" applyNumberFormat="1" applyFont="1"/>
    <xf numFmtId="0" fontId="31" fillId="0" borderId="0" xfId="8" applyFont="1"/>
    <xf numFmtId="0" fontId="2" fillId="0" borderId="23" xfId="8" applyFont="1" applyBorder="1" applyAlignment="1">
      <alignment horizontal="left"/>
    </xf>
    <xf numFmtId="169" fontId="2" fillId="0" borderId="0" xfId="11" applyNumberFormat="1" applyFont="1" applyAlignment="1">
      <alignment horizontal="right"/>
    </xf>
    <xf numFmtId="169" fontId="9" fillId="0" borderId="57" xfId="10" applyNumberFormat="1" applyFont="1" applyBorder="1" applyAlignment="1">
      <alignment horizontal="right"/>
    </xf>
    <xf numFmtId="170" fontId="2" fillId="0" borderId="58" xfId="11" applyNumberFormat="1" applyFont="1" applyBorder="1" applyAlignment="1">
      <alignment horizontal="right"/>
    </xf>
    <xf numFmtId="169" fontId="2" fillId="0" borderId="23" xfId="8" applyNumberFormat="1" applyFont="1" applyBorder="1"/>
    <xf numFmtId="169" fontId="2" fillId="0" borderId="58" xfId="11" applyNumberFormat="1" applyFont="1" applyBorder="1" applyAlignment="1">
      <alignment horizontal="right"/>
    </xf>
    <xf numFmtId="168" fontId="28" fillId="0" borderId="0" xfId="10" applyNumberFormat="1" applyFont="1" applyAlignment="1">
      <alignment horizontal="right"/>
    </xf>
    <xf numFmtId="169" fontId="2" fillId="0" borderId="0" xfId="8" applyNumberFormat="1" applyFont="1"/>
    <xf numFmtId="2" fontId="2" fillId="0" borderId="50" xfId="11" applyNumberFormat="1" applyFont="1" applyBorder="1" applyAlignment="1">
      <alignment horizontal="right"/>
    </xf>
    <xf numFmtId="169" fontId="2" fillId="0" borderId="50" xfId="11" applyNumberFormat="1" applyFont="1" applyBorder="1" applyAlignment="1">
      <alignment horizontal="right"/>
    </xf>
    <xf numFmtId="170" fontId="2" fillId="0" borderId="0" xfId="11" applyNumberFormat="1" applyFont="1" applyAlignment="1">
      <alignment horizontal="right"/>
    </xf>
    <xf numFmtId="171" fontId="2" fillId="0" borderId="50" xfId="11" applyNumberFormat="1" applyFont="1" applyBorder="1" applyAlignment="1">
      <alignment horizontal="right"/>
    </xf>
    <xf numFmtId="170" fontId="2" fillId="0" borderId="50" xfId="11" applyNumberFormat="1" applyFont="1" applyBorder="1" applyAlignment="1">
      <alignment horizontal="right"/>
    </xf>
    <xf numFmtId="2" fontId="2" fillId="0" borderId="0" xfId="11" applyNumberFormat="1" applyFont="1" applyAlignment="1">
      <alignment horizontal="right"/>
    </xf>
    <xf numFmtId="169" fontId="2" fillId="0" borderId="51" xfId="11" applyNumberFormat="1" applyFont="1" applyBorder="1" applyAlignment="1">
      <alignment horizontal="right"/>
    </xf>
    <xf numFmtId="169" fontId="9" fillId="0" borderId="59" xfId="10" applyNumberFormat="1" applyFont="1" applyBorder="1" applyAlignment="1">
      <alignment horizontal="right"/>
    </xf>
    <xf numFmtId="169" fontId="2" fillId="0" borderId="52" xfId="11" applyNumberFormat="1" applyFont="1" applyBorder="1" applyAlignment="1">
      <alignment horizontal="right"/>
    </xf>
    <xf numFmtId="169" fontId="2" fillId="0" borderId="51" xfId="8" applyNumberFormat="1" applyFont="1" applyBorder="1"/>
    <xf numFmtId="0" fontId="34" fillId="0" borderId="0" xfId="8" applyFont="1" applyAlignment="1">
      <alignment wrapText="1"/>
    </xf>
    <xf numFmtId="0" fontId="26" fillId="0" borderId="0" xfId="8" applyFont="1"/>
    <xf numFmtId="0" fontId="34" fillId="0" borderId="0" xfId="8" applyFont="1" applyAlignment="1">
      <alignment vertical="top"/>
    </xf>
    <xf numFmtId="168" fontId="26" fillId="0" borderId="0" xfId="10" applyNumberFormat="1" applyFont="1" applyAlignment="1">
      <alignment horizontal="right"/>
    </xf>
    <xf numFmtId="168" fontId="26" fillId="0" borderId="0" xfId="10" applyNumberFormat="1" applyFont="1" applyAlignment="1">
      <alignment horizontal="right" indent="1"/>
    </xf>
    <xf numFmtId="169" fontId="26" fillId="0" borderId="0" xfId="8" applyNumberFormat="1" applyFont="1"/>
    <xf numFmtId="0" fontId="34" fillId="0" borderId="0" xfId="8" applyFont="1" applyAlignment="1">
      <alignment vertical="top" wrapText="1"/>
    </xf>
    <xf numFmtId="49" fontId="26" fillId="0" borderId="0" xfId="8" quotePrefix="1" applyNumberFormat="1" applyFont="1" applyAlignment="1">
      <alignment horizontal="right"/>
    </xf>
    <xf numFmtId="3" fontId="29" fillId="0" borderId="0" xfId="8" applyNumberFormat="1" applyFont="1"/>
    <xf numFmtId="0" fontId="2" fillId="0" borderId="23" xfId="8" applyFont="1" applyBorder="1"/>
    <xf numFmtId="171" fontId="2" fillId="0" borderId="0" xfId="11" applyNumberFormat="1" applyFont="1" applyAlignment="1">
      <alignment horizontal="right"/>
    </xf>
    <xf numFmtId="171" fontId="2" fillId="0" borderId="51" xfId="11" applyNumberFormat="1" applyFont="1" applyBorder="1" applyAlignment="1">
      <alignment horizontal="right"/>
    </xf>
    <xf numFmtId="0" fontId="34" fillId="0" borderId="0" xfId="8" applyFont="1"/>
    <xf numFmtId="168" fontId="26" fillId="0" borderId="0" xfId="8" applyNumberFormat="1" applyFont="1"/>
    <xf numFmtId="0" fontId="26" fillId="0" borderId="0" xfId="8" applyFont="1" applyAlignment="1">
      <alignment horizontal="centerContinuous"/>
    </xf>
    <xf numFmtId="0" fontId="21" fillId="0" borderId="0" xfId="8" applyFont="1" applyAlignment="1">
      <alignment vertical="top" wrapText="1"/>
    </xf>
    <xf numFmtId="2" fontId="2" fillId="0" borderId="58" xfId="11" applyNumberFormat="1" applyFont="1" applyBorder="1" applyAlignment="1">
      <alignment horizontal="right"/>
    </xf>
    <xf numFmtId="2" fontId="2" fillId="0" borderId="51" xfId="11" applyNumberFormat="1" applyFont="1" applyBorder="1" applyAlignment="1">
      <alignment horizontal="right"/>
    </xf>
    <xf numFmtId="169" fontId="35" fillId="0" borderId="0" xfId="12" applyNumberFormat="1" applyFill="1" applyAlignment="1">
      <alignment horizontal="right"/>
    </xf>
    <xf numFmtId="2" fontId="2" fillId="0" borderId="52" xfId="11" applyNumberFormat="1" applyFont="1" applyBorder="1" applyAlignment="1">
      <alignment horizontal="right"/>
    </xf>
    <xf numFmtId="0" fontId="2" fillId="0" borderId="0" xfId="8" applyFont="1" applyAlignment="1">
      <alignment horizontal="left"/>
    </xf>
    <xf numFmtId="1" fontId="2" fillId="0" borderId="0" xfId="8" applyNumberFormat="1" applyFont="1"/>
    <xf numFmtId="169" fontId="2" fillId="0" borderId="0" xfId="10" applyNumberFormat="1"/>
    <xf numFmtId="168" fontId="36" fillId="0" borderId="0" xfId="10" applyNumberFormat="1" applyFont="1" applyAlignment="1">
      <alignment horizontal="right"/>
    </xf>
    <xf numFmtId="165" fontId="36" fillId="0" borderId="0" xfId="10" applyNumberFormat="1" applyFont="1"/>
    <xf numFmtId="169" fontId="2" fillId="0" borderId="0" xfId="10" applyNumberFormat="1" applyAlignment="1">
      <alignment horizontal="right"/>
    </xf>
    <xf numFmtId="169" fontId="2" fillId="0" borderId="0" xfId="10" applyNumberFormat="1" applyAlignment="1">
      <alignment horizontal="right" indent="1"/>
    </xf>
    <xf numFmtId="0" fontId="36" fillId="0" borderId="0" xfId="8" applyFont="1"/>
    <xf numFmtId="0" fontId="26" fillId="0" borderId="0" xfId="8" applyFont="1" applyAlignment="1">
      <alignment horizontal="left"/>
    </xf>
    <xf numFmtId="169" fontId="2" fillId="0" borderId="0" xfId="11" quotePrefix="1" applyNumberFormat="1" applyFont="1" applyAlignment="1">
      <alignment horizontal="left"/>
    </xf>
    <xf numFmtId="0" fontId="1" fillId="0" borderId="0" xfId="8" applyAlignment="1">
      <alignment wrapText="1"/>
    </xf>
    <xf numFmtId="165" fontId="36" fillId="0" borderId="0" xfId="10" applyNumberFormat="1" applyFont="1" applyAlignment="1">
      <alignment horizontal="left"/>
    </xf>
    <xf numFmtId="165" fontId="2" fillId="0" borderId="0" xfId="10" applyNumberFormat="1" applyAlignment="1">
      <alignment horizontal="left"/>
    </xf>
    <xf numFmtId="0" fontId="28" fillId="0" borderId="0" xfId="8" applyFont="1"/>
    <xf numFmtId="165" fontId="41" fillId="0" borderId="0" xfId="10" applyNumberFormat="1" applyFont="1" applyAlignment="1">
      <alignment horizontal="left"/>
    </xf>
    <xf numFmtId="165" fontId="29" fillId="0" borderId="0" xfId="10" applyNumberFormat="1" applyFont="1" applyAlignment="1">
      <alignment horizontal="centerContinuous"/>
    </xf>
    <xf numFmtId="169" fontId="2" fillId="0" borderId="0" xfId="11" quotePrefix="1" applyNumberFormat="1" applyFont="1" applyAlignment="1">
      <alignment horizontal="right"/>
    </xf>
    <xf numFmtId="169" fontId="28" fillId="0" borderId="0" xfId="8" applyNumberFormat="1" applyFont="1"/>
    <xf numFmtId="1" fontId="28" fillId="0" borderId="0" xfId="8" applyNumberFormat="1" applyFont="1"/>
    <xf numFmtId="172" fontId="2" fillId="0" borderId="0" xfId="11" applyNumberFormat="1" applyFont="1" applyAlignment="1">
      <alignment horizontal="right"/>
    </xf>
    <xf numFmtId="169" fontId="36" fillId="0" borderId="0" xfId="8" applyNumberFormat="1" applyFont="1"/>
    <xf numFmtId="3" fontId="28" fillId="0" borderId="0" xfId="8" applyNumberFormat="1" applyFont="1"/>
    <xf numFmtId="0" fontId="21" fillId="0" borderId="0" xfId="8" applyFont="1" applyAlignment="1">
      <alignment wrapText="1"/>
    </xf>
    <xf numFmtId="49" fontId="7" fillId="0" borderId="0" xfId="8" applyNumberFormat="1" applyFont="1" applyAlignment="1" applyProtection="1">
      <alignment horizontal="centerContinuous"/>
      <protection locked="0"/>
    </xf>
    <xf numFmtId="0" fontId="1" fillId="0" borderId="0" xfId="8" applyAlignment="1">
      <alignment horizontal="centerContinuous"/>
    </xf>
    <xf numFmtId="0" fontId="21" fillId="0" borderId="0" xfId="8" applyFont="1" applyAlignment="1">
      <alignment horizontal="centerContinuous"/>
    </xf>
    <xf numFmtId="37" fontId="42" fillId="0" borderId="0" xfId="8" applyNumberFormat="1" applyFont="1" applyAlignment="1">
      <alignment horizontal="centerContinuous"/>
    </xf>
    <xf numFmtId="37" fontId="43" fillId="0" borderId="51" xfId="8" applyNumberFormat="1" applyFont="1" applyBorder="1"/>
    <xf numFmtId="0" fontId="1" fillId="0" borderId="51" xfId="8" applyBorder="1"/>
    <xf numFmtId="0" fontId="21" fillId="0" borderId="51" xfId="8" applyFont="1" applyBorder="1"/>
    <xf numFmtId="37" fontId="43" fillId="0" borderId="55" xfId="8" applyNumberFormat="1" applyFont="1" applyBorder="1"/>
    <xf numFmtId="0" fontId="4" fillId="0" borderId="55" xfId="8" applyFont="1" applyBorder="1" applyAlignment="1">
      <alignment horizontal="center"/>
    </xf>
    <xf numFmtId="0" fontId="4" fillId="0" borderId="24" xfId="8" applyFont="1" applyBorder="1" applyAlignment="1">
      <alignment horizontal="center"/>
    </xf>
    <xf numFmtId="0" fontId="4" fillId="0" borderId="24" xfId="8" applyFont="1" applyBorder="1" applyAlignment="1">
      <alignment horizontal="centerContinuous"/>
    </xf>
    <xf numFmtId="0" fontId="4" fillId="0" borderId="55" xfId="8" applyFont="1" applyBorder="1" applyAlignment="1">
      <alignment horizontal="centerContinuous"/>
    </xf>
    <xf numFmtId="0" fontId="4" fillId="0" borderId="0" xfId="8" applyFont="1"/>
    <xf numFmtId="37" fontId="43" fillId="0" borderId="55" xfId="8" applyNumberFormat="1" applyFont="1" applyBorder="1" applyAlignment="1">
      <alignment horizontal="center"/>
    </xf>
    <xf numFmtId="0" fontId="4" fillId="0" borderId="56" xfId="8" applyFont="1" applyBorder="1" applyAlignment="1">
      <alignment horizontal="center"/>
    </xf>
    <xf numFmtId="0" fontId="4" fillId="0" borderId="24" xfId="8" applyFont="1" applyBorder="1" applyAlignment="1">
      <alignment horizontal="center" wrapText="1"/>
    </xf>
    <xf numFmtId="0" fontId="4" fillId="0" borderId="0" xfId="8" applyFont="1" applyAlignment="1">
      <alignment horizontal="center"/>
    </xf>
    <xf numFmtId="169" fontId="2" fillId="0" borderId="0" xfId="8" applyNumberFormat="1" applyFont="1" applyAlignment="1">
      <alignment horizontal="center"/>
    </xf>
    <xf numFmtId="169" fontId="2" fillId="0" borderId="60" xfId="8" applyNumberFormat="1" applyFont="1" applyBorder="1" applyAlignment="1">
      <alignment horizontal="center"/>
    </xf>
    <xf numFmtId="169" fontId="2" fillId="0" borderId="32" xfId="8" applyNumberFormat="1" applyFont="1" applyBorder="1" applyAlignment="1">
      <alignment horizontal="center"/>
    </xf>
    <xf numFmtId="169" fontId="2" fillId="0" borderId="32" xfId="8" applyNumberFormat="1" applyFont="1" applyBorder="1"/>
    <xf numFmtId="169" fontId="2" fillId="0" borderId="27" xfId="8" applyNumberFormat="1" applyFont="1" applyBorder="1" applyAlignment="1">
      <alignment horizontal="center"/>
    </xf>
    <xf numFmtId="169" fontId="2" fillId="0" borderId="57" xfId="8" applyNumberFormat="1" applyFont="1" applyBorder="1" applyAlignment="1">
      <alignment horizontal="center"/>
    </xf>
    <xf numFmtId="169" fontId="2" fillId="0" borderId="51" xfId="8" applyNumberFormat="1" applyFont="1" applyBorder="1" applyAlignment="1">
      <alignment horizontal="center"/>
    </xf>
    <xf numFmtId="169" fontId="2" fillId="0" borderId="59" xfId="8" applyNumberFormat="1" applyFont="1" applyBorder="1" applyAlignment="1">
      <alignment horizontal="center"/>
    </xf>
    <xf numFmtId="169" fontId="2" fillId="0" borderId="53" xfId="8" applyNumberFormat="1" applyFont="1" applyBorder="1" applyAlignment="1">
      <alignment horizontal="center"/>
    </xf>
    <xf numFmtId="169" fontId="2" fillId="0" borderId="52" xfId="8" applyNumberFormat="1" applyFont="1" applyBorder="1" applyAlignment="1">
      <alignment horizontal="center"/>
    </xf>
    <xf numFmtId="169" fontId="2" fillId="0" borderId="53" xfId="8" applyNumberFormat="1" applyFont="1" applyBorder="1"/>
    <xf numFmtId="49" fontId="26" fillId="0" borderId="0" xfId="8" applyNumberFormat="1" applyFont="1" applyAlignment="1">
      <alignment horizontal="right"/>
    </xf>
    <xf numFmtId="37" fontId="42" fillId="0" borderId="0" xfId="8" applyNumberFormat="1" applyFont="1" applyAlignment="1">
      <alignment horizontal="center"/>
    </xf>
    <xf numFmtId="37" fontId="43" fillId="0" borderId="0" xfId="8" applyNumberFormat="1" applyFont="1" applyAlignment="1">
      <alignment horizontal="centerContinuous"/>
    </xf>
    <xf numFmtId="0" fontId="4" fillId="0" borderId="54" xfId="8" applyFont="1" applyBorder="1" applyAlignment="1">
      <alignment horizontal="centerContinuous"/>
    </xf>
    <xf numFmtId="0" fontId="2" fillId="0" borderId="32" xfId="8" applyFont="1" applyBorder="1"/>
    <xf numFmtId="0" fontId="26" fillId="0" borderId="32" xfId="8" applyFont="1" applyBorder="1"/>
    <xf numFmtId="169" fontId="21" fillId="0" borderId="32" xfId="8" applyNumberFormat="1" applyFont="1" applyBorder="1" applyAlignment="1">
      <alignment horizontal="center"/>
    </xf>
    <xf numFmtId="0" fontId="21" fillId="0" borderId="0" xfId="8" applyFont="1" applyAlignment="1">
      <alignment horizontal="center"/>
    </xf>
    <xf numFmtId="0" fontId="1" fillId="0" borderId="0" xfId="8" applyAlignment="1">
      <alignment horizontal="center"/>
    </xf>
    <xf numFmtId="0" fontId="2" fillId="0" borderId="0" xfId="8" applyFont="1" applyAlignment="1">
      <alignment horizontal="center"/>
    </xf>
    <xf numFmtId="37" fontId="43" fillId="0" borderId="51" xfId="8" applyNumberFormat="1" applyFont="1" applyBorder="1" applyAlignment="1">
      <alignment horizontal="centerContinuous"/>
    </xf>
    <xf numFmtId="0" fontId="1" fillId="0" borderId="51" xfId="8" applyBorder="1" applyAlignment="1">
      <alignment horizontal="centerContinuous"/>
    </xf>
    <xf numFmtId="169" fontId="2" fillId="0" borderId="23" xfId="8" applyNumberFormat="1" applyFont="1" applyBorder="1" applyAlignment="1">
      <alignment horizontal="center"/>
    </xf>
    <xf numFmtId="169" fontId="21" fillId="0" borderId="0" xfId="8" applyNumberFormat="1" applyFont="1"/>
    <xf numFmtId="169" fontId="1" fillId="0" borderId="0" xfId="8" applyNumberFormat="1"/>
    <xf numFmtId="0" fontId="21" fillId="0" borderId="0" xfId="8" applyFont="1" applyAlignment="1" applyProtection="1">
      <alignment vertical="center" wrapText="1"/>
      <protection locked="0"/>
    </xf>
    <xf numFmtId="0" fontId="1" fillId="0" borderId="0" xfId="8" applyAlignment="1" applyProtection="1">
      <alignment vertical="center" wrapText="1"/>
      <protection locked="0"/>
    </xf>
    <xf numFmtId="37" fontId="4" fillId="0" borderId="51" xfId="8" applyNumberFormat="1" applyFont="1" applyBorder="1"/>
    <xf numFmtId="37" fontId="29" fillId="0" borderId="55" xfId="8" applyNumberFormat="1" applyFont="1" applyBorder="1"/>
    <xf numFmtId="37" fontId="29" fillId="0" borderId="55" xfId="8" applyNumberFormat="1" applyFont="1" applyBorder="1" applyAlignment="1">
      <alignment horizontal="center"/>
    </xf>
    <xf numFmtId="0" fontId="29" fillId="0" borderId="56" xfId="8" applyFont="1" applyBorder="1" applyAlignment="1">
      <alignment horizontal="center"/>
    </xf>
    <xf numFmtId="0" fontId="29" fillId="0" borderId="24" xfId="8" applyFont="1" applyBorder="1" applyAlignment="1">
      <alignment horizontal="center" wrapText="1"/>
    </xf>
    <xf numFmtId="169" fontId="21" fillId="0" borderId="0" xfId="8" applyNumberFormat="1" applyFont="1" applyAlignment="1">
      <alignment horizontal="right"/>
    </xf>
    <xf numFmtId="37" fontId="27" fillId="0" borderId="0" xfId="8" applyNumberFormat="1" applyFont="1" applyAlignment="1">
      <alignment horizontal="center"/>
    </xf>
    <xf numFmtId="0" fontId="8" fillId="0" borderId="0" xfId="8" applyFont="1" applyAlignment="1">
      <alignment horizontal="center"/>
    </xf>
    <xf numFmtId="0" fontId="8" fillId="0" borderId="0" xfId="8" applyFont="1"/>
    <xf numFmtId="169" fontId="23" fillId="0" borderId="0" xfId="8" applyNumberFormat="1" applyFont="1"/>
    <xf numFmtId="169" fontId="2" fillId="0" borderId="0" xfId="8" applyNumberFormat="1" applyFont="1" applyAlignment="1">
      <alignment horizontal="right"/>
    </xf>
    <xf numFmtId="2" fontId="2" fillId="0" borderId="0" xfId="8" applyNumberFormat="1" applyFont="1" applyAlignment="1">
      <alignment horizontal="right"/>
    </xf>
    <xf numFmtId="37" fontId="4" fillId="0" borderId="55" xfId="8" applyNumberFormat="1" applyFont="1" applyBorder="1"/>
    <xf numFmtId="37" fontId="4" fillId="0" borderId="55" xfId="8" applyNumberFormat="1" applyFont="1" applyBorder="1" applyAlignment="1">
      <alignment horizontal="center"/>
    </xf>
    <xf numFmtId="37" fontId="27" fillId="0" borderId="0" xfId="8" applyNumberFormat="1" applyFont="1" applyAlignment="1">
      <alignment horizontal="center"/>
    </xf>
    <xf numFmtId="37" fontId="7" fillId="0" borderId="0" xfId="8" applyNumberFormat="1" applyFont="1" applyAlignment="1">
      <alignment horizontal="center"/>
    </xf>
    <xf numFmtId="0" fontId="29" fillId="0" borderId="55" xfId="8" applyFont="1" applyBorder="1" applyAlignment="1">
      <alignment horizontal="center"/>
    </xf>
    <xf numFmtId="0" fontId="29" fillId="0" borderId="54" xfId="8" applyFont="1" applyBorder="1" applyAlignment="1">
      <alignment horizontal="center"/>
    </xf>
    <xf numFmtId="0" fontId="29" fillId="0" borderId="24" xfId="8" applyFont="1" applyBorder="1" applyAlignment="1">
      <alignment horizontal="center"/>
    </xf>
    <xf numFmtId="0" fontId="34" fillId="0" borderId="23" xfId="8" applyFont="1" applyBorder="1" applyAlignment="1">
      <alignment horizontal="left" wrapText="1"/>
    </xf>
    <xf numFmtId="0" fontId="34" fillId="0" borderId="0" xfId="8" applyFont="1" applyAlignment="1">
      <alignment vertical="center" wrapText="1"/>
    </xf>
    <xf numFmtId="0" fontId="21" fillId="0" borderId="0" xfId="8" applyFont="1" applyAlignment="1">
      <alignment vertical="center" wrapText="1"/>
    </xf>
    <xf numFmtId="0" fontId="34" fillId="0" borderId="0" xfId="8" applyFont="1" applyAlignment="1">
      <alignment horizontal="left" wrapText="1"/>
    </xf>
    <xf numFmtId="0" fontId="34" fillId="0" borderId="0" xfId="8" applyFont="1" applyAlignment="1">
      <alignment vertical="top" wrapText="1"/>
    </xf>
    <xf numFmtId="0" fontId="21" fillId="0" borderId="0" xfId="8" applyFont="1" applyAlignment="1">
      <alignment vertical="top" wrapText="1"/>
    </xf>
    <xf numFmtId="0" fontId="34" fillId="0" borderId="0" xfId="8" applyFont="1" applyAlignment="1">
      <alignment horizontal="left" vertical="top" wrapText="1"/>
    </xf>
    <xf numFmtId="0" fontId="34" fillId="0" borderId="23" xfId="8" applyFont="1" applyBorder="1" applyAlignment="1">
      <alignment horizontal="left" vertical="top" wrapText="1"/>
    </xf>
    <xf numFmtId="0" fontId="4" fillId="0" borderId="55" xfId="8" applyFont="1" applyBorder="1" applyAlignment="1">
      <alignment horizontal="center"/>
    </xf>
    <xf numFmtId="0" fontId="4" fillId="0" borderId="54" xfId="8" applyFont="1" applyBorder="1" applyAlignment="1">
      <alignment horizontal="center"/>
    </xf>
    <xf numFmtId="0" fontId="4" fillId="0" borderId="24" xfId="8" applyFont="1" applyBorder="1" applyAlignment="1">
      <alignment horizontal="center"/>
    </xf>
    <xf numFmtId="37" fontId="42" fillId="0" borderId="0" xfId="8" applyNumberFormat="1" applyFont="1" applyAlignment="1">
      <alignment horizontal="center"/>
    </xf>
    <xf numFmtId="0" fontId="36" fillId="0" borderId="0" xfId="8" applyFont="1" applyAlignment="1">
      <alignment vertical="top" wrapText="1"/>
    </xf>
    <xf numFmtId="0" fontId="23" fillId="0" borderId="0" xfId="8" applyFont="1" applyAlignment="1">
      <alignment vertical="top" wrapText="1"/>
    </xf>
    <xf numFmtId="0" fontId="34" fillId="0" borderId="0" xfId="8" applyFont="1" applyAlignment="1">
      <alignment wrapText="1"/>
    </xf>
    <xf numFmtId="0" fontId="21" fillId="0" borderId="0" xfId="8" applyFont="1"/>
    <xf numFmtId="0" fontId="1" fillId="0" borderId="0" xfId="8" applyAlignment="1">
      <alignment vertical="top" wrapText="1"/>
    </xf>
    <xf numFmtId="0" fontId="26" fillId="0" borderId="0" xfId="8" applyFont="1" applyAlignment="1">
      <alignment vertical="top" wrapText="1"/>
    </xf>
    <xf numFmtId="164" fontId="5" fillId="0" borderId="8" xfId="0" applyFont="1" applyBorder="1" applyAlignment="1">
      <alignment horizontal="center" wrapText="1"/>
    </xf>
    <xf numFmtId="3" fontId="11" fillId="6" borderId="57" xfId="0" applyNumberFormat="1" applyFont="1" applyFill="1" applyBorder="1"/>
    <xf numFmtId="164" fontId="4" fillId="0" borderId="53" xfId="0" applyFont="1" applyBorder="1" applyAlignment="1">
      <alignment horizontal="centerContinuous" wrapText="1"/>
    </xf>
    <xf numFmtId="164" fontId="6" fillId="0" borderId="51" xfId="0" applyFont="1" applyBorder="1" applyAlignment="1">
      <alignment horizontal="centerContinuous"/>
    </xf>
    <xf numFmtId="164" fontId="11" fillId="0" borderId="53" xfId="0" applyFont="1" applyBorder="1" applyAlignment="1">
      <alignment horizontal="centerContinuous" wrapText="1"/>
    </xf>
    <xf numFmtId="164" fontId="4" fillId="0" borderId="53" xfId="0" applyFont="1" applyBorder="1" applyAlignment="1">
      <alignment horizontal="center" wrapText="1"/>
    </xf>
    <xf numFmtId="164" fontId="5" fillId="0" borderId="59" xfId="0" applyFont="1" applyBorder="1" applyAlignment="1">
      <alignment horizontal="center" wrapText="1"/>
    </xf>
    <xf numFmtId="164" fontId="4" fillId="0" borderId="59" xfId="0" applyFont="1" applyBorder="1" applyAlignment="1">
      <alignment horizontal="centerContinuous" wrapText="1"/>
    </xf>
    <xf numFmtId="164" fontId="11" fillId="6" borderId="53" xfId="0" applyFont="1" applyFill="1" applyBorder="1" applyAlignment="1">
      <alignment horizontal="center" wrapText="1"/>
    </xf>
    <xf numFmtId="164" fontId="4" fillId="7" borderId="59" xfId="0" applyFont="1" applyFill="1" applyBorder="1" applyAlignment="1">
      <alignment horizontal="center" wrapText="1"/>
    </xf>
    <xf numFmtId="164" fontId="4" fillId="0" borderId="53" xfId="0" applyFont="1" applyBorder="1" applyAlignment="1">
      <alignment horizontal="center" wrapText="1"/>
    </xf>
    <xf numFmtId="164" fontId="2" fillId="3" borderId="50" xfId="0" applyFont="1" applyFill="1" applyBorder="1" applyAlignment="1">
      <alignment horizontal="center" wrapText="1"/>
    </xf>
    <xf numFmtId="49" fontId="2" fillId="14" borderId="0" xfId="0" applyNumberFormat="1" applyFont="1" applyFill="1" applyAlignment="1" applyProtection="1">
      <alignment horizontal="left"/>
      <protection locked="0"/>
    </xf>
    <xf numFmtId="1" fontId="2" fillId="14" borderId="0" xfId="0" applyNumberFormat="1" applyFont="1" applyFill="1" applyAlignment="1" applyProtection="1">
      <alignment horizontal="center"/>
      <protection locked="0"/>
    </xf>
    <xf numFmtId="38" fontId="9" fillId="5" borderId="59" xfId="0" applyNumberFormat="1" applyFont="1" applyFill="1" applyBorder="1" applyAlignment="1">
      <alignment horizontal="right"/>
    </xf>
    <xf numFmtId="38" fontId="9" fillId="6" borderId="59" xfId="0" applyNumberFormat="1" applyFont="1" applyFill="1" applyBorder="1" applyAlignment="1">
      <alignment horizontal="right"/>
    </xf>
    <xf numFmtId="37" fontId="2" fillId="12" borderId="59" xfId="0" applyNumberFormat="1" applyFont="1" applyFill="1" applyBorder="1" applyProtection="1">
      <protection locked="0"/>
    </xf>
    <xf numFmtId="37" fontId="2" fillId="13" borderId="59" xfId="0" applyNumberFormat="1" applyFont="1" applyFill="1" applyBorder="1" applyAlignment="1" applyProtection="1">
      <alignment horizontal="center" vertical="top"/>
      <protection locked="0"/>
    </xf>
    <xf numFmtId="3" fontId="2" fillId="14" borderId="0" xfId="0" applyNumberFormat="1" applyFont="1" applyFill="1" applyAlignment="1" applyProtection="1">
      <alignment horizontal="left"/>
      <protection locked="0"/>
    </xf>
    <xf numFmtId="37" fontId="2" fillId="14" borderId="0" xfId="0" applyNumberFormat="1" applyFont="1" applyFill="1" applyAlignment="1" applyProtection="1">
      <alignment horizontal="left"/>
      <protection locked="0"/>
    </xf>
    <xf numFmtId="3" fontId="2" fillId="11" borderId="0" xfId="0" applyNumberFormat="1" applyFont="1" applyFill="1" applyAlignment="1" applyProtection="1">
      <alignment horizontal="left"/>
      <protection locked="0"/>
    </xf>
    <xf numFmtId="0" fontId="4" fillId="44" borderId="0" xfId="0" applyNumberFormat="1" applyFont="1" applyFill="1" applyAlignment="1" applyProtection="1">
      <alignment horizontal="left"/>
      <protection locked="0"/>
    </xf>
    <xf numFmtId="3" fontId="2" fillId="13" borderId="61" xfId="0" applyNumberFormat="1" applyFont="1" applyFill="1" applyBorder="1" applyAlignment="1" applyProtection="1">
      <alignment horizontal="right"/>
      <protection locked="0"/>
    </xf>
    <xf numFmtId="3" fontId="2" fillId="13" borderId="0" xfId="0" applyNumberFormat="1" applyFont="1" applyFill="1" applyAlignment="1" applyProtection="1">
      <alignment horizontal="right"/>
      <protection locked="0"/>
    </xf>
    <xf numFmtId="49" fontId="2" fillId="26" borderId="5" xfId="0" applyNumberFormat="1" applyFont="1" applyFill="1" applyBorder="1" applyAlignment="1" applyProtection="1">
      <alignment horizontal="center"/>
      <protection locked="0"/>
    </xf>
    <xf numFmtId="49" fontId="4" fillId="26" borderId="0" xfId="0" applyNumberFormat="1" applyFont="1" applyFill="1" applyAlignment="1" applyProtection="1">
      <alignment horizontal="left"/>
      <protection locked="0"/>
    </xf>
    <xf numFmtId="1" fontId="2" fillId="26" borderId="0" xfId="0" applyNumberFormat="1" applyFont="1" applyFill="1" applyAlignment="1" applyProtection="1">
      <alignment horizontal="center"/>
      <protection locked="0"/>
    </xf>
    <xf numFmtId="3" fontId="2" fillId="26" borderId="0" xfId="0" applyNumberFormat="1" applyFont="1" applyFill="1" applyAlignment="1" applyProtection="1">
      <alignment horizontal="left"/>
      <protection locked="0"/>
    </xf>
    <xf numFmtId="49" fontId="2" fillId="26" borderId="0" xfId="0" applyNumberFormat="1" applyFont="1" applyFill="1" applyAlignment="1" applyProtection="1">
      <alignment horizontal="left"/>
      <protection locked="0"/>
    </xf>
    <xf numFmtId="165" fontId="2" fillId="13" borderId="62" xfId="0" applyNumberFormat="1" applyFont="1" applyFill="1" applyBorder="1" applyProtection="1">
      <protection locked="0"/>
    </xf>
    <xf numFmtId="165" fontId="2" fillId="13" borderId="63" xfId="0" applyNumberFormat="1" applyFont="1" applyFill="1" applyBorder="1" applyProtection="1">
      <protection locked="0"/>
    </xf>
    <xf numFmtId="164" fontId="2" fillId="13" borderId="0" xfId="0" applyFont="1" applyFill="1" applyProtection="1">
      <protection locked="0"/>
    </xf>
    <xf numFmtId="164" fontId="4" fillId="13" borderId="0" xfId="0" applyFont="1" applyFill="1" applyProtection="1">
      <protection locked="0"/>
    </xf>
    <xf numFmtId="49" fontId="2" fillId="0" borderId="5" xfId="0" applyNumberFormat="1" applyFont="1" applyBorder="1" applyAlignment="1" applyProtection="1">
      <alignment horizontal="center"/>
      <protection locked="0"/>
    </xf>
    <xf numFmtId="49" fontId="2" fillId="0" borderId="0" xfId="0" applyNumberFormat="1" applyFont="1" applyAlignment="1" applyProtection="1">
      <alignment horizontal="left"/>
      <protection locked="0"/>
    </xf>
    <xf numFmtId="49" fontId="4" fillId="0" borderId="0" xfId="0" applyNumberFormat="1" applyFont="1" applyAlignment="1" applyProtection="1">
      <alignment horizontal="left"/>
      <protection locked="0"/>
    </xf>
    <xf numFmtId="1" fontId="2" fillId="0" borderId="0" xfId="0" applyNumberFormat="1" applyFont="1" applyAlignment="1" applyProtection="1">
      <alignment horizontal="center"/>
      <protection locked="0"/>
    </xf>
    <xf numFmtId="1" fontId="8" fillId="32" borderId="0" xfId="0" applyNumberFormat="1" applyFont="1" applyFill="1" applyAlignment="1" applyProtection="1">
      <alignment horizontal="center"/>
      <protection locked="0"/>
    </xf>
    <xf numFmtId="0" fontId="21" fillId="0" borderId="0" xfId="8" applyFont="1" applyFill="1"/>
    <xf numFmtId="0" fontId="21" fillId="0" borderId="17" xfId="8" applyFont="1" applyFill="1" applyBorder="1"/>
    <xf numFmtId="0" fontId="21" fillId="0" borderId="18" xfId="8" applyFont="1" applyFill="1" applyBorder="1"/>
    <xf numFmtId="9" fontId="21" fillId="0" borderId="19" xfId="8" applyNumberFormat="1" applyFont="1" applyFill="1" applyBorder="1"/>
    <xf numFmtId="9" fontId="21" fillId="0" borderId="18" xfId="8" applyNumberFormat="1" applyFont="1" applyFill="1" applyBorder="1"/>
    <xf numFmtId="9" fontId="21" fillId="0" borderId="20" xfId="8" applyNumberFormat="1" applyFont="1" applyFill="1" applyBorder="1"/>
    <xf numFmtId="0" fontId="1" fillId="0" borderId="5" xfId="8" applyFill="1" applyBorder="1"/>
    <xf numFmtId="0" fontId="21" fillId="0" borderId="21" xfId="8" applyFont="1" applyFill="1" applyBorder="1"/>
    <xf numFmtId="0" fontId="21" fillId="0" borderId="22" xfId="8" applyFont="1" applyFill="1" applyBorder="1"/>
    <xf numFmtId="0" fontId="21" fillId="0" borderId="23" xfId="8" applyFont="1" applyFill="1" applyBorder="1"/>
    <xf numFmtId="0" fontId="21" fillId="0" borderId="24" xfId="8" applyFont="1" applyFill="1" applyBorder="1"/>
    <xf numFmtId="9" fontId="21" fillId="0" borderId="25" xfId="8" applyNumberFormat="1" applyFont="1" applyFill="1" applyBorder="1"/>
    <xf numFmtId="9" fontId="21" fillId="0" borderId="17" xfId="8" applyNumberFormat="1" applyFont="1" applyFill="1" applyBorder="1"/>
    <xf numFmtId="0" fontId="21" fillId="0" borderId="19" xfId="8" applyFont="1" applyFill="1" applyBorder="1"/>
    <xf numFmtId="0" fontId="21" fillId="0" borderId="26" xfId="8" applyFont="1" applyFill="1" applyBorder="1"/>
    <xf numFmtId="0" fontId="21" fillId="0" borderId="27" xfId="8" applyFont="1" applyFill="1" applyBorder="1"/>
    <xf numFmtId="0" fontId="21" fillId="0" borderId="5" xfId="8" applyFont="1" applyFill="1" applyBorder="1"/>
    <xf numFmtId="9" fontId="21" fillId="0" borderId="28" xfId="8" applyNumberFormat="1" applyFont="1" applyFill="1" applyBorder="1"/>
    <xf numFmtId="9" fontId="21" fillId="0" borderId="29" xfId="8" applyNumberFormat="1" applyFont="1" applyFill="1" applyBorder="1"/>
    <xf numFmtId="0" fontId="22" fillId="0" borderId="17" xfId="8" applyFont="1" applyFill="1" applyBorder="1"/>
    <xf numFmtId="166" fontId="21" fillId="0" borderId="17" xfId="8" applyNumberFormat="1" applyFont="1" applyFill="1" applyBorder="1"/>
    <xf numFmtId="166" fontId="21" fillId="0" borderId="19" xfId="8" applyNumberFormat="1" applyFont="1" applyFill="1" applyBorder="1"/>
    <xf numFmtId="166" fontId="21" fillId="0" borderId="30" xfId="8" applyNumberFormat="1" applyFont="1" applyFill="1" applyBorder="1"/>
    <xf numFmtId="0" fontId="22" fillId="0" borderId="26" xfId="8" applyFont="1" applyFill="1" applyBorder="1"/>
    <xf numFmtId="0" fontId="21" fillId="0" borderId="31" xfId="8" applyFont="1" applyFill="1" applyBorder="1"/>
    <xf numFmtId="166" fontId="21" fillId="0" borderId="31" xfId="8" applyNumberFormat="1" applyFont="1" applyFill="1" applyBorder="1"/>
    <xf numFmtId="166" fontId="21" fillId="0" borderId="0" xfId="8" applyNumberFormat="1" applyFont="1" applyFill="1"/>
    <xf numFmtId="166" fontId="21" fillId="0" borderId="32" xfId="8" applyNumberFormat="1" applyFont="1" applyFill="1" applyBorder="1"/>
    <xf numFmtId="0" fontId="1" fillId="0" borderId="32" xfId="8" applyFill="1" applyBorder="1"/>
    <xf numFmtId="0" fontId="22" fillId="0" borderId="33" xfId="8" applyFont="1" applyFill="1" applyBorder="1" applyAlignment="1">
      <alignment horizontal="right"/>
    </xf>
    <xf numFmtId="167" fontId="22" fillId="0" borderId="33" xfId="8" applyNumberFormat="1" applyFont="1" applyFill="1" applyBorder="1"/>
    <xf numFmtId="167" fontId="22" fillId="0" borderId="1" xfId="8" applyNumberFormat="1" applyFont="1" applyFill="1" applyBorder="1"/>
    <xf numFmtId="167" fontId="22" fillId="0" borderId="7" xfId="8" applyNumberFormat="1" applyFont="1" applyFill="1" applyBorder="1"/>
    <xf numFmtId="167" fontId="22" fillId="0" borderId="34" xfId="8" applyNumberFormat="1" applyFont="1" applyFill="1" applyBorder="1"/>
    <xf numFmtId="168" fontId="21" fillId="0" borderId="0" xfId="9" applyNumberFormat="1" applyFont="1" applyFill="1"/>
    <xf numFmtId="0" fontId="22" fillId="0" borderId="35" xfId="8" applyFont="1" applyFill="1" applyBorder="1" applyAlignment="1">
      <alignment horizontal="right"/>
    </xf>
    <xf numFmtId="167" fontId="22" fillId="0" borderId="35" xfId="8" applyNumberFormat="1" applyFont="1" applyFill="1" applyBorder="1"/>
    <xf numFmtId="167" fontId="22" fillId="0" borderId="36" xfId="8" applyNumberFormat="1" applyFont="1" applyFill="1" applyBorder="1"/>
    <xf numFmtId="167" fontId="22" fillId="0" borderId="37" xfId="8" applyNumberFormat="1" applyFont="1" applyFill="1" applyBorder="1"/>
    <xf numFmtId="0" fontId="22" fillId="0" borderId="38" xfId="8" applyFont="1" applyFill="1" applyBorder="1"/>
    <xf numFmtId="0" fontId="22" fillId="0" borderId="38" xfId="8" applyFont="1" applyFill="1" applyBorder="1" applyAlignment="1">
      <alignment horizontal="right"/>
    </xf>
    <xf numFmtId="167" fontId="22" fillId="0" borderId="38" xfId="8" applyNumberFormat="1" applyFont="1" applyFill="1" applyBorder="1"/>
    <xf numFmtId="167" fontId="22" fillId="0" borderId="39" xfId="8" applyNumberFormat="1" applyFont="1" applyFill="1" applyBorder="1"/>
    <xf numFmtId="167" fontId="22" fillId="0" borderId="40" xfId="8" applyNumberFormat="1" applyFont="1" applyFill="1" applyBorder="1"/>
    <xf numFmtId="0" fontId="22" fillId="0" borderId="31" xfId="8" applyFont="1" applyFill="1" applyBorder="1"/>
    <xf numFmtId="0" fontId="23" fillId="0" borderId="0" xfId="8" applyFont="1" applyFill="1"/>
    <xf numFmtId="168" fontId="21" fillId="0" borderId="0" xfId="10" applyNumberFormat="1" applyFont="1" applyFill="1"/>
    <xf numFmtId="0" fontId="22" fillId="0" borderId="33" xfId="8" applyFont="1" applyFill="1" applyBorder="1"/>
  </cellXfs>
  <cellStyles count="13">
    <cellStyle name="40% - Accent3 2" xfId="12" xr:uid="{3DA2A2B2-C52F-4AD1-9610-7AB73F4D7A98}"/>
    <cellStyle name="CalcNumNew" xfId="7" xr:uid="{00000000-0005-0000-0000-000000000000}"/>
    <cellStyle name="CalcNumOld" xfId="6" xr:uid="{00000000-0005-0000-0000-000001000000}"/>
    <cellStyle name="CalcPctNew" xfId="5" xr:uid="{00000000-0005-0000-0000-000002000000}"/>
    <cellStyle name="CalcPctOld" xfId="4" xr:uid="{00000000-0005-0000-0000-000003000000}"/>
    <cellStyle name="Comma 2" xfId="9" xr:uid="{7431BC62-2B01-4A1A-A85F-FFAA03AC9E0C}"/>
    <cellStyle name="Comma 3" xfId="10" xr:uid="{407C071B-BF1A-486B-AA0A-7F006C4A82DC}"/>
    <cellStyle name="DataNew" xfId="3" xr:uid="{00000000-0005-0000-0000-000004000000}"/>
    <cellStyle name="DataOld" xfId="2" xr:uid="{00000000-0005-0000-0000-000005000000}"/>
    <cellStyle name="DataOldLock" xfId="1" xr:uid="{00000000-0005-0000-0000-000006000000}"/>
    <cellStyle name="Normal" xfId="0" builtinId="0" customBuiltin="1"/>
    <cellStyle name="Normal 2" xfId="8" xr:uid="{DF6CD6A7-3813-4293-86D7-486BC52BD0B5}"/>
    <cellStyle name="Percent 2" xfId="11" xr:uid="{4033D3BC-3192-45AD-B4E2-C8F41A3C9F04}"/>
  </cellStyles>
  <dxfs count="500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3" formatCode="0%"/>
    </dxf>
    <dxf>
      <numFmt numFmtId="13" formatCode="0%"/>
    </dxf>
    <dxf>
      <numFmt numFmtId="13" formatCode="0%"/>
    </dxf>
    <dxf>
      <numFmt numFmtId="166" formatCode="0.0%"/>
    </dxf>
    <dxf>
      <border>
        <bottom style="thin">
          <color indexed="64"/>
        </bottom>
      </border>
    </dxf>
    <dxf>
      <font>
        <b/>
      </font>
    </dxf>
    <dxf>
      <font>
        <b val="0"/>
      </font>
    </dxf>
    <dxf>
      <font>
        <b val="0"/>
      </font>
    </dxf>
    <dxf>
      <font>
        <b val="0"/>
      </font>
    </dxf>
    <dxf>
      <font>
        <b val="0"/>
      </font>
    </dxf>
    <dxf>
      <font>
        <b val="0"/>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left/>
      </border>
    </dxf>
    <dxf>
      <border>
        <left/>
      </border>
    </dxf>
    <dxf>
      <border>
        <right style="thin">
          <color indexed="64"/>
        </right>
      </border>
    </dxf>
    <dxf>
      <border>
        <top style="thin">
          <color indexed="64"/>
        </top>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font>
        <color auto="1"/>
      </font>
    </dxf>
    <dxf>
      <border>
        <left style="thin">
          <color indexed="64"/>
        </left>
      </border>
    </dxf>
    <dxf>
      <border>
        <left style="thin">
          <color indexed="64"/>
        </left>
      </border>
    </dxf>
    <dxf>
      <border>
        <left style="thin">
          <color indexed="64"/>
        </left>
      </border>
    </dxf>
    <dxf>
      <border>
        <right/>
      </border>
    </dxf>
    <dxf>
      <border>
        <right/>
      </border>
    </dxf>
    <dxf>
      <border>
        <right/>
      </border>
    </dxf>
    <dxf>
      <border>
        <right/>
      </border>
    </dxf>
    <dxf>
      <border>
        <right/>
      </border>
    </dxf>
    <dxf>
      <border>
        <bottom style="medium">
          <color indexed="8"/>
        </bottom>
      </border>
    </dxf>
    <dxf>
      <border>
        <bottom style="medium">
          <color indexed="8"/>
        </bottom>
      </border>
    </dxf>
    <dxf>
      <border>
        <bottom style="medium">
          <color indexed="8"/>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3" formatCode="0%"/>
    </dxf>
    <dxf>
      <numFmt numFmtId="13" formatCode="0%"/>
    </dxf>
    <dxf>
      <numFmt numFmtId="13" formatCode="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8"/>
        </top>
      </border>
    </dxf>
    <dxf>
      <font>
        <b/>
      </font>
    </dxf>
    <dxf>
      <border>
        <top style="thin">
          <color indexed="8"/>
        </top>
        <bottom/>
      </border>
    </dxf>
    <dxf>
      <font>
        <b val="0"/>
      </font>
    </dxf>
    <dxf>
      <font>
        <b val="0"/>
      </font>
    </dxf>
    <dxf>
      <fill>
        <patternFill patternType="solid">
          <bgColor indexed="47"/>
        </patternFill>
      </fill>
    </dxf>
    <dxf>
      <fill>
        <patternFill patternType="solid">
          <bgColor indexed="45"/>
        </patternFill>
      </fill>
    </dxf>
    <dxf>
      <fill>
        <patternFill patternType="solid">
          <bgColor indexed="51"/>
        </patternFill>
      </fill>
    </dxf>
    <dxf>
      <fill>
        <patternFill patternType="solid">
          <bgColor indexed="43"/>
        </patternFill>
      </fill>
    </dxf>
    <dxf>
      <border>
        <top/>
      </border>
    </dxf>
    <dxf>
      <border>
        <bottom style="thin">
          <color indexed="64"/>
        </bottom>
      </border>
    </dxf>
    <dxf>
      <border>
        <bottom style="thin">
          <color indexed="64"/>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8"/>
        </bottom>
      </border>
    </dxf>
    <dxf>
      <border>
        <bottom style="thin">
          <color indexed="64"/>
        </bottom>
      </border>
    </dxf>
    <dxf>
      <border>
        <bottom style="thin">
          <color indexed="64"/>
        </bottom>
      </border>
    </dxf>
    <dxf>
      <border>
        <bottom style="thin">
          <color indexed="64"/>
        </bottom>
      </border>
    </dxf>
    <dxf>
      <fill>
        <patternFill patternType="none"/>
      </fill>
    </dxf>
    <dxf>
      <numFmt numFmtId="165" formatCode="_(* #,##0_);_(* \(#,##0\);_(* &quot;-&quot;??_);_(@_)"/>
    </dxf>
    <dxf>
      <font>
        <color indexed="53"/>
      </font>
    </dxf>
    <dxf>
      <font>
        <color indexed="53"/>
      </font>
    </dxf>
    <dxf>
      <font>
        <color indexed="53"/>
      </font>
    </dxf>
    <dxf>
      <font>
        <color indexed="17"/>
      </font>
    </dxf>
    <dxf>
      <font>
        <color indexed="17"/>
      </font>
    </dxf>
    <dxf>
      <font>
        <color indexed="61"/>
      </font>
    </dxf>
    <dxf>
      <font>
        <color indexed="61"/>
      </font>
    </dxf>
    <dxf>
      <font>
        <color indexed="61"/>
      </font>
    </dxf>
    <dxf>
      <font>
        <color indexed="23"/>
      </font>
    </dxf>
    <dxf>
      <font>
        <color indexed="23"/>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ill>
        <patternFill patternType="none">
          <bgColor auto="1"/>
        </patternFill>
      </fill>
    </dxf>
    <dxf>
      <font>
        <b val="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font>
    </dxf>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color indexed="23"/>
      </font>
    </dxf>
    <dxf>
      <font>
        <color indexed="23"/>
      </font>
    </dxf>
    <dxf>
      <font>
        <color indexed="61"/>
      </font>
    </dxf>
    <dxf>
      <font>
        <color indexed="61"/>
      </font>
    </dxf>
    <dxf>
      <font>
        <color indexed="61"/>
      </font>
    </dxf>
    <dxf>
      <font>
        <color indexed="17"/>
      </font>
    </dxf>
    <dxf>
      <font>
        <color indexed="17"/>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border>
        <bottom style="medium">
          <color indexed="8"/>
        </bottom>
      </border>
    </dxf>
    <dxf>
      <border>
        <bottom style="medium">
          <color indexed="8"/>
        </bottom>
      </border>
    </dxf>
    <dxf>
      <border>
        <bottom style="medium">
          <color indexed="8"/>
        </bottom>
      </border>
    </dxf>
    <dxf>
      <border>
        <right/>
      </border>
    </dxf>
    <dxf>
      <border>
        <right/>
      </border>
    </dxf>
    <dxf>
      <border>
        <right/>
      </border>
    </dxf>
    <dxf>
      <border>
        <right/>
      </border>
    </dxf>
    <dxf>
      <border>
        <right/>
      </border>
    </dxf>
    <dxf>
      <border>
        <left style="thin">
          <color indexed="64"/>
        </left>
      </border>
    </dxf>
    <dxf>
      <border>
        <left style="thin">
          <color indexed="64"/>
        </left>
      </border>
    </dxf>
    <dxf>
      <border>
        <left style="thin">
          <color indexed="64"/>
        </left>
      </border>
    </dxf>
    <dxf>
      <font>
        <color auto="1"/>
      </font>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top style="thin">
          <color indexed="64"/>
        </top>
      </border>
    </dxf>
    <dxf>
      <border>
        <right style="thin">
          <color indexed="64"/>
        </right>
      </border>
    </dxf>
    <dxf>
      <border>
        <left/>
      </border>
    </dxf>
    <dxf>
      <border>
        <left/>
      </border>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font>
    </dxf>
    <dxf>
      <border>
        <bottom style="thin">
          <color indexed="64"/>
        </bottom>
      </border>
    </dxf>
    <dxf>
      <numFmt numFmtId="166" formatCode="0.0%"/>
    </dxf>
    <dxf>
      <numFmt numFmtId="13" formatCode="0%"/>
    </dxf>
    <dxf>
      <numFmt numFmtId="13" formatCode="0%"/>
    </dxf>
    <dxf>
      <numFmt numFmtId="13" formatCode="0%"/>
    </dxf>
    <dxf>
      <font>
        <condense val="0"/>
        <extend val="0"/>
        <color indexed="10"/>
      </font>
    </dxf>
    <dxf>
      <font>
        <condense val="0"/>
        <extend val="0"/>
        <color indexed="10"/>
      </font>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3860.636044328705" createdVersion="6" refreshedVersion="6" minRefreshableVersion="3" recordCount="638" xr:uid="{81B92429-30A9-4667-9E05-C471EDA1596F}">
  <cacheSource type="worksheet">
    <worksheetSource ref="A6:AG644" sheet="05InstructionTypes"/>
  </cacheSource>
  <cacheFields count="74">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870501"/>
    </cacheField>
    <cacheField name="type" numFmtId="0">
      <sharedItems containsString="0" containsBlank="1" containsNumber="1" containsInteger="1" minValue="1" maxValue="99" count="17">
        <n v="1"/>
        <n v="2"/>
        <n v="3"/>
        <n v="4"/>
        <n v="5"/>
        <n v="6"/>
        <n v="8"/>
        <n v="9"/>
        <n v="10"/>
        <n v="12"/>
        <n v="13"/>
        <n v="15"/>
        <m/>
        <n v="7"/>
        <n v="14"/>
        <n v="99" u="1"/>
        <n v="16" u="1"/>
      </sharedItems>
      <fieldGroup par="70"/>
    </cacheField>
    <cacheField name="OLD-Tot UG SCH Calc" numFmtId="38">
      <sharedItems containsString="0" containsBlank="1" containsNumber="1" minValue="0" maxValue="1343994"/>
    </cacheField>
    <cacheField name="NEW-Tot UG SCH Calc" numFmtId="38">
      <sharedItems containsString="0" containsBlank="1" containsNumber="1" minValue="0" maxValue="1400320"/>
    </cacheField>
    <cacheField name="Old-UG OnC Trad" numFmtId="37">
      <sharedItems containsString="0" containsBlank="1" containsNumber="1" minValue="0" maxValue="1200118"/>
    </cacheField>
    <cacheField name="New-UG OnC Trad" numFmtId="0">
      <sharedItems containsString="0" containsBlank="1" containsNumber="1" minValue="0" maxValue="1196201"/>
    </cacheField>
    <cacheField name="Old-UG OffC Trad" numFmtId="37">
      <sharedItems containsString="0" containsBlank="1" containsNumber="1" minValue="0" maxValue="253330"/>
    </cacheField>
    <cacheField name="New-UG OffC Trad" numFmtId="0">
      <sharedItems containsString="0" containsBlank="1" containsNumber="1" minValue="0" maxValue="243681"/>
    </cacheField>
    <cacheField name="Old-UG EL Web" numFmtId="37">
      <sharedItems containsString="0" containsBlank="1" containsNumber="1" minValue="0" maxValue="748412"/>
    </cacheField>
    <cacheField name="Old-UG EL CV" numFmtId="37">
      <sharedItems containsString="0" containsBlank="1" containsNumber="1" containsInteger="1" minValue="0" maxValue="34092"/>
    </cacheField>
    <cacheField name="Old-UG EL O" numFmtId="37">
      <sharedItems containsString="0" containsBlank="1" containsNumber="1" containsInteger="1" minValue="0" maxValue="67586"/>
    </cacheField>
    <cacheField name="New-UG EL Web" numFmtId="0">
      <sharedItems containsString="0" containsBlank="1" containsNumber="1" minValue="0" maxValue="780721"/>
    </cacheField>
    <cacheField name="New-UG EL CV" numFmtId="0">
      <sharedItems containsString="0" containsBlank="1" containsNumber="1" minValue="0" maxValue="34362"/>
    </cacheField>
    <cacheField name="New-UG EL O" numFmtId="0">
      <sharedItems containsString="0" containsBlank="1" containsNumber="1" containsInteger="1" minValue="0" maxValue="63946"/>
    </cacheField>
    <cacheField name="Old-UG Cor" numFmtId="37">
      <sharedItems containsString="0" containsBlank="1" containsNumber="1" containsInteger="1" minValue="0" maxValue="3724"/>
    </cacheField>
    <cacheField name="New-UG Cor" numFmtId="0">
      <sharedItems containsString="0" containsBlank="1" containsNumber="1" containsInteger="1" minValue="0" maxValue="4393"/>
    </cacheField>
    <cacheField name="Old-Tot G SCH Calc" numFmtId="38">
      <sharedItems containsString="0" containsBlank="1" containsNumber="1" minValue="0" maxValue="305290.5"/>
    </cacheField>
    <cacheField name="New-Tot G SCH Calc" numFmtId="38">
      <sharedItems containsString="0" containsBlank="1" containsNumber="1" minValue="0" maxValue="332827.5"/>
    </cacheField>
    <cacheField name="Old-G OnC Trad" numFmtId="37">
      <sharedItems containsBlank="1" containsMixedTypes="1" containsNumber="1" minValue="0" maxValue="243712.5"/>
    </cacheField>
    <cacheField name="New-G OnC Trad" numFmtId="37">
      <sharedItems containsString="0" containsBlank="1" containsNumber="1" minValue="0" maxValue="243173.5"/>
    </cacheField>
    <cacheField name="Old-G OffC Trad" numFmtId="37">
      <sharedItems containsString="0" containsBlank="1" containsNumber="1" minValue="0" maxValue="93810.5"/>
    </cacheField>
    <cacheField name="New-G OffC Trad" numFmtId="37">
      <sharedItems containsString="0" containsBlank="1" containsNumber="1" minValue="0" maxValue="87899"/>
    </cacheField>
    <cacheField name="Old-G EL Web" numFmtId="37">
      <sharedItems containsString="0" containsBlank="1" containsNumber="1" minValue="0" maxValue="204717"/>
    </cacheField>
    <cacheField name="Old-G EL CV" numFmtId="37">
      <sharedItems containsString="0" containsBlank="1" containsNumber="1" minValue="0" maxValue="11664"/>
    </cacheField>
    <cacheField name="Old-G EL O" numFmtId="37">
      <sharedItems containsString="0" containsBlank="1" containsNumber="1" containsInteger="1" minValue="0" maxValue="8360"/>
    </cacheField>
    <cacheField name="New-G EL Web" numFmtId="37">
      <sharedItems containsString="0" containsBlank="1" containsNumber="1" minValue="0" maxValue="207295"/>
    </cacheField>
    <cacheField name="New-G EL CV" numFmtId="0">
      <sharedItems containsString="0" containsBlank="1" containsNumber="1" minValue="0" maxValue="11983"/>
    </cacheField>
    <cacheField name="New-G EL O" numFmtId="0">
      <sharedItems containsString="0" containsBlank="1" containsNumber="1" containsInteger="1" minValue="0" maxValue="7464"/>
    </cacheField>
    <cacheField name="Old-G Cor" numFmtId="37">
      <sharedItems containsString="0" containsBlank="1" containsNumber="1" containsInteger="1" minValue="0" maxValue="2773"/>
    </cacheField>
    <cacheField name="New-G Cor" numFmtId="37">
      <sharedItems containsString="0" containsBlank="1" containsNumber="1" containsInteger="1" minValue="0" maxValue="3161"/>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7">
          <x v="3"/>
          <x v="3"/>
          <x v="3"/>
          <x v="3"/>
          <x v="3"/>
          <x v="3"/>
          <x v="4"/>
          <x v="4"/>
          <x v="4"/>
          <x v="5"/>
          <x v="5"/>
          <x v="3"/>
          <x v="6"/>
          <x v="4"/>
          <x v="1"/>
          <x v="0"/>
          <x v="2"/>
        </discretePr>
        <groupItems count="7">
          <n v="99"/>
          <n v="14"/>
          <n v="16"/>
          <s v="Group1"/>
          <s v="Group2"/>
          <s v="Group3"/>
          <m/>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8">
  <r>
    <x v="0"/>
    <s v="Auburn University"/>
    <m/>
    <n v="100858"/>
    <x v="0"/>
    <n v="693807"/>
    <n v="725986"/>
    <n v="648072"/>
    <n v="670923"/>
    <m/>
    <m/>
    <n v="45735"/>
    <m/>
    <m/>
    <n v="55063"/>
    <m/>
    <m/>
    <m/>
    <m/>
    <n v="108134"/>
    <n v="109015"/>
    <n v="82672"/>
    <n v="83193"/>
    <n v="2582"/>
    <n v="2806"/>
    <n v="22880"/>
    <m/>
    <m/>
    <n v="23016"/>
    <m/>
    <m/>
    <m/>
    <m/>
  </r>
  <r>
    <x v="0"/>
    <s v="University of Alabama "/>
    <m/>
    <n v="100751"/>
    <x v="0"/>
    <n v="929726"/>
    <n v="934991"/>
    <n v="840744"/>
    <n v="832125"/>
    <n v="281"/>
    <n v="12267"/>
    <n v="86904"/>
    <n v="1797"/>
    <m/>
    <n v="89392"/>
    <n v="1207"/>
    <m/>
    <m/>
    <m/>
    <n v="97386"/>
    <n v="99520"/>
    <n v="73327"/>
    <n v="73005"/>
    <n v="1817"/>
    <n v="4596"/>
    <n v="22041"/>
    <n v="201"/>
    <m/>
    <n v="21601"/>
    <n v="318"/>
    <m/>
    <m/>
    <m/>
  </r>
  <r>
    <x v="0"/>
    <s v="University of Alabama at Birmingham"/>
    <s v="Reclassified: Met the criteria for Four-Year 1 in 2016-17, 2017-18, and 2018-19."/>
    <n v="100663"/>
    <x v="0"/>
    <n v="295175"/>
    <n v="315909"/>
    <n v="207993"/>
    <n v="215981"/>
    <n v="228"/>
    <n v="51"/>
    <n v="86894"/>
    <n v="60"/>
    <m/>
    <n v="99835"/>
    <n v="42"/>
    <m/>
    <m/>
    <m/>
    <n v="50185"/>
    <n v="55209"/>
    <n v="29946"/>
    <n v="31524"/>
    <n v="54"/>
    <n v="54"/>
    <n v="20056"/>
    <n v="129"/>
    <m/>
    <n v="23535"/>
    <n v="96"/>
    <m/>
    <m/>
    <m/>
  </r>
  <r>
    <x v="0"/>
    <s v="University of Alabama in Huntsville"/>
    <s v="Met the criteria for Four-Year 3 in 2018-19."/>
    <n v="100706"/>
    <x v="1"/>
    <n v="184226"/>
    <n v="202213"/>
    <n v="174986"/>
    <n v="185753"/>
    <m/>
    <m/>
    <n v="9240"/>
    <m/>
    <m/>
    <n v="16460"/>
    <m/>
    <m/>
    <m/>
    <m/>
    <n v="31413"/>
    <n v="31627"/>
    <n v="21910"/>
    <n v="21545"/>
    <m/>
    <m/>
    <n v="9503"/>
    <m/>
    <m/>
    <n v="10082"/>
    <m/>
    <m/>
    <m/>
    <m/>
  </r>
  <r>
    <x v="0"/>
    <s v="Alabama Agricultural &amp; Mechanical University"/>
    <m/>
    <n v="100654"/>
    <x v="2"/>
    <n v="135883"/>
    <n v="151518"/>
    <n v="125764"/>
    <n v="141101"/>
    <n v="381"/>
    <n v="327"/>
    <n v="9738"/>
    <m/>
    <m/>
    <n v="10090"/>
    <m/>
    <m/>
    <m/>
    <m/>
    <n v="17205"/>
    <n v="18386"/>
    <n v="14812"/>
    <n v="14379"/>
    <n v="331"/>
    <n v="613"/>
    <n v="2062"/>
    <m/>
    <m/>
    <n v="3394"/>
    <m/>
    <m/>
    <m/>
    <m/>
  </r>
  <r>
    <x v="0"/>
    <s v="Jacksonville State University "/>
    <m/>
    <n v="101480"/>
    <x v="2"/>
    <n v="187997"/>
    <n v="187929"/>
    <n v="129475"/>
    <n v="123309"/>
    <n v="2942"/>
    <n v="2454"/>
    <n v="54626"/>
    <n v="954"/>
    <n v="0"/>
    <n v="61893"/>
    <n v="273"/>
    <n v="0"/>
    <m/>
    <m/>
    <n v="16190"/>
    <n v="18018"/>
    <n v="3791"/>
    <n v="3572"/>
    <m/>
    <n v="3"/>
    <n v="12399"/>
    <m/>
    <m/>
    <n v="14431"/>
    <n v="12"/>
    <m/>
    <m/>
    <m/>
  </r>
  <r>
    <x v="0"/>
    <s v="Troy University"/>
    <m/>
    <n v="102368"/>
    <x v="2"/>
    <n v="277943"/>
    <n v="279461"/>
    <n v="216564"/>
    <n v="200406"/>
    <n v="0"/>
    <n v="0"/>
    <n v="61379"/>
    <n v="0"/>
    <n v="0"/>
    <n v="69624"/>
    <n v="0"/>
    <n v="9431"/>
    <n v="0"/>
    <m/>
    <n v="34799"/>
    <n v="32842"/>
    <n v="21462"/>
    <n v="14965"/>
    <n v="0"/>
    <m/>
    <n v="13337"/>
    <n v="0"/>
    <n v="0"/>
    <n v="16467"/>
    <m/>
    <n v="1410"/>
    <m/>
    <n v="0"/>
  </r>
  <r>
    <x v="0"/>
    <s v="University of North Alabama"/>
    <m/>
    <n v="101879"/>
    <x v="2"/>
    <n v="159806"/>
    <n v="161333"/>
    <n v="126835"/>
    <n v="121400"/>
    <m/>
    <m/>
    <n v="32971"/>
    <m/>
    <m/>
    <n v="39933"/>
    <m/>
    <m/>
    <m/>
    <m/>
    <n v="17334"/>
    <n v="19826"/>
    <n v="4150"/>
    <n v="3941"/>
    <m/>
    <m/>
    <n v="13184"/>
    <m/>
    <m/>
    <n v="15885"/>
    <m/>
    <m/>
    <m/>
    <m/>
  </r>
  <r>
    <x v="0"/>
    <s v="University of South Alabama"/>
    <s v="Reclassified: Met the criteria for Four-Year 2 in 2016-17,  2017-18, and 2018-19."/>
    <n v="102094"/>
    <x v="1"/>
    <n v="283312"/>
    <n v="264746"/>
    <n v="243731"/>
    <n v="222892"/>
    <n v="366"/>
    <n v="398"/>
    <n v="39215"/>
    <m/>
    <m/>
    <n v="41456"/>
    <m/>
    <m/>
    <m/>
    <m/>
    <n v="18045"/>
    <n v="16420"/>
    <n v="12701"/>
    <n v="11718"/>
    <m/>
    <m/>
    <n v="5344"/>
    <m/>
    <m/>
    <n v="4702"/>
    <m/>
    <m/>
    <m/>
    <m/>
  </r>
  <r>
    <x v="0"/>
    <s v="Alabama State University "/>
    <m/>
    <n v="100724"/>
    <x v="3"/>
    <n v="136889"/>
    <n v="121235"/>
    <n v="118679"/>
    <n v="102560"/>
    <n v="0"/>
    <n v="0"/>
    <n v="18210"/>
    <m/>
    <m/>
    <n v="18675"/>
    <m/>
    <m/>
    <m/>
    <m/>
    <n v="14183"/>
    <n v="13087"/>
    <n v="11707"/>
    <n v="10787"/>
    <m/>
    <m/>
    <n v="2476"/>
    <m/>
    <m/>
    <n v="2300"/>
    <m/>
    <m/>
    <m/>
    <m/>
  </r>
  <r>
    <x v="0"/>
    <s v="Auburn University at Montgomery"/>
    <s v="Met the criteria for Four-Year 3 in 2018-19."/>
    <n v="100830"/>
    <x v="3"/>
    <n v="108549"/>
    <n v="116195"/>
    <n v="84448"/>
    <n v="87749"/>
    <n v="272"/>
    <n v="444"/>
    <n v="23829"/>
    <m/>
    <m/>
    <n v="28002"/>
    <m/>
    <m/>
    <m/>
    <m/>
    <n v="9726"/>
    <n v="9931"/>
    <n v="3758"/>
    <n v="3656"/>
    <n v="0"/>
    <n v="45"/>
    <n v="5968"/>
    <m/>
    <m/>
    <n v="6230"/>
    <m/>
    <m/>
    <m/>
    <m/>
  </r>
  <r>
    <x v="0"/>
    <s v="University of Montevallo"/>
    <m/>
    <n v="101709"/>
    <x v="4"/>
    <n v="64610"/>
    <n v="64266"/>
    <n v="61015"/>
    <n v="59364"/>
    <n v="0"/>
    <n v="0"/>
    <n v="3595"/>
    <m/>
    <m/>
    <n v="4902"/>
    <m/>
    <m/>
    <m/>
    <m/>
    <n v="7317"/>
    <n v="6575"/>
    <n v="5803"/>
    <n v="4886"/>
    <n v="357"/>
    <n v="610"/>
    <n v="1157"/>
    <m/>
    <m/>
    <n v="1079"/>
    <m/>
    <m/>
    <m/>
    <m/>
  </r>
  <r>
    <x v="0"/>
    <s v="University of West Alabama"/>
    <s v="Met the criteria for Four-Year 4 in 2018-19."/>
    <n v="101587"/>
    <x v="4"/>
    <n v="57951"/>
    <n v="60646"/>
    <n v="48758"/>
    <n v="46921"/>
    <n v="336"/>
    <n v="370"/>
    <n v="8857"/>
    <m/>
    <m/>
    <n v="13355"/>
    <m/>
    <m/>
    <m/>
    <m/>
    <n v="44276"/>
    <n v="54056"/>
    <n v="1474"/>
    <n v="1026"/>
    <m/>
    <m/>
    <n v="42802"/>
    <m/>
    <m/>
    <n v="53030"/>
    <m/>
    <m/>
    <m/>
    <m/>
  </r>
  <r>
    <x v="0"/>
    <s v="Athens State University"/>
    <m/>
    <s v="100812"/>
    <x v="5"/>
    <n v="67015"/>
    <n v="65486"/>
    <n v="12957"/>
    <n v="10766"/>
    <n v="2382"/>
    <n v="1707"/>
    <n v="51676"/>
    <m/>
    <m/>
    <n v="53013"/>
    <m/>
    <m/>
    <m/>
    <m/>
    <n v="1236"/>
    <n v="2376"/>
    <n v="18"/>
    <n v="30"/>
    <m/>
    <m/>
    <n v="1218"/>
    <m/>
    <m/>
    <n v="2346"/>
    <m/>
    <m/>
    <m/>
    <m/>
  </r>
  <r>
    <x v="0"/>
    <s v="Jefferson State Community College"/>
    <m/>
    <n v="101505"/>
    <x v="6"/>
    <n v="168065"/>
    <n v="170953"/>
    <n v="108957"/>
    <n v="109128"/>
    <n v="6632"/>
    <n v="6840"/>
    <n v="50882"/>
    <n v="1594"/>
    <m/>
    <n v="53242"/>
    <n v="1743"/>
    <m/>
    <m/>
    <m/>
    <n v="0"/>
    <n v="0"/>
    <m/>
    <m/>
    <m/>
    <m/>
    <m/>
    <m/>
    <m/>
    <m/>
    <m/>
    <m/>
    <m/>
    <m/>
  </r>
  <r>
    <x v="0"/>
    <s v="John C. Calhoun Community College "/>
    <m/>
    <n v="101514"/>
    <x v="6"/>
    <n v="199357"/>
    <n v="195805"/>
    <n v="124234"/>
    <n v="118580"/>
    <n v="7955"/>
    <n v="7107"/>
    <n v="67168"/>
    <m/>
    <m/>
    <n v="70118"/>
    <m/>
    <m/>
    <m/>
    <m/>
    <n v="0"/>
    <n v="0"/>
    <m/>
    <m/>
    <m/>
    <m/>
    <m/>
    <m/>
    <m/>
    <m/>
    <m/>
    <m/>
    <m/>
    <m/>
  </r>
  <r>
    <x v="0"/>
    <s v="Bevill State Community College"/>
    <m/>
    <n v="102429"/>
    <x v="7"/>
    <n v="84465"/>
    <n v="84082"/>
    <n v="61567"/>
    <n v="57077"/>
    <n v="5554"/>
    <n v="5957"/>
    <n v="14717"/>
    <n v="2627"/>
    <m/>
    <n v="17996"/>
    <n v="3052"/>
    <m/>
    <m/>
    <m/>
    <n v="0"/>
    <n v="0"/>
    <m/>
    <m/>
    <m/>
    <m/>
    <m/>
    <m/>
    <m/>
    <m/>
    <m/>
    <m/>
    <m/>
    <m/>
  </r>
  <r>
    <x v="0"/>
    <s v="Bishop State Community College"/>
    <m/>
    <n v="102030"/>
    <x v="7"/>
    <n v="70231"/>
    <n v="67163"/>
    <n v="61069"/>
    <n v="59059"/>
    <n v="3"/>
    <n v="9"/>
    <n v="7540"/>
    <m/>
    <n v="0"/>
    <n v="4691"/>
    <m/>
    <n v="0"/>
    <n v="1619"/>
    <n v="3404"/>
    <n v="0"/>
    <n v="0"/>
    <m/>
    <m/>
    <m/>
    <m/>
    <m/>
    <m/>
    <m/>
    <m/>
    <m/>
    <m/>
    <m/>
    <m/>
  </r>
  <r>
    <x v="0"/>
    <s v="Gadsden State Community College"/>
    <m/>
    <n v="101240"/>
    <x v="7"/>
    <n v="113194"/>
    <n v="110220"/>
    <n v="74791"/>
    <n v="69197"/>
    <n v="10345"/>
    <n v="9297"/>
    <n v="28058"/>
    <m/>
    <m/>
    <n v="31726"/>
    <m/>
    <m/>
    <m/>
    <m/>
    <n v="0"/>
    <n v="0"/>
    <m/>
    <m/>
    <m/>
    <m/>
    <m/>
    <m/>
    <m/>
    <m/>
    <m/>
    <m/>
    <m/>
    <m/>
  </r>
  <r>
    <x v="0"/>
    <s v="George C. Wallace Community College-Dothan"/>
    <m/>
    <n v="101286"/>
    <x v="7"/>
    <n v="98184"/>
    <n v="99907"/>
    <n v="74294"/>
    <n v="71878"/>
    <n v="11549"/>
    <n v="12858"/>
    <n v="12341"/>
    <m/>
    <m/>
    <n v="15171"/>
    <m/>
    <m/>
    <m/>
    <m/>
    <n v="0"/>
    <n v="0"/>
    <m/>
    <m/>
    <m/>
    <m/>
    <m/>
    <m/>
    <m/>
    <m/>
    <m/>
    <m/>
    <m/>
    <m/>
  </r>
  <r>
    <x v="0"/>
    <s v="James H. Faulkner State Community College"/>
    <s v="Met the criteria for Two-Year 1 in 2018-19."/>
    <n v="101161"/>
    <x v="7"/>
    <n v="64818"/>
    <n v="168682"/>
    <n v="24218"/>
    <n v="112551"/>
    <n v="19041"/>
    <n v="10349"/>
    <n v="21559"/>
    <m/>
    <m/>
    <n v="45782"/>
    <m/>
    <m/>
    <m/>
    <m/>
    <n v="0"/>
    <n v="0"/>
    <m/>
    <m/>
    <m/>
    <m/>
    <m/>
    <m/>
    <m/>
    <m/>
    <m/>
    <m/>
    <m/>
    <m/>
  </r>
  <r>
    <x v="0"/>
    <s v="Lawson State Community College "/>
    <m/>
    <n v="101569"/>
    <x v="7"/>
    <n v="72421"/>
    <n v="76197"/>
    <n v="61743"/>
    <n v="65262"/>
    <n v="1152"/>
    <n v="2047"/>
    <n v="9526"/>
    <m/>
    <m/>
    <n v="8888"/>
    <m/>
    <m/>
    <m/>
    <m/>
    <n v="0"/>
    <n v="0"/>
    <m/>
    <m/>
    <m/>
    <m/>
    <m/>
    <m/>
    <m/>
    <m/>
    <m/>
    <m/>
    <m/>
    <m/>
  </r>
  <r>
    <x v="0"/>
    <s v="Northwest-Shoals Community College"/>
    <m/>
    <n v="101736"/>
    <x v="7"/>
    <n v="69257"/>
    <n v="66705"/>
    <n v="56598"/>
    <n v="50252"/>
    <n v="670"/>
    <n v="508"/>
    <n v="11114"/>
    <n v="875"/>
    <m/>
    <n v="15214"/>
    <n v="731"/>
    <m/>
    <m/>
    <m/>
    <n v="0"/>
    <n v="0"/>
    <m/>
    <m/>
    <m/>
    <m/>
    <m/>
    <m/>
    <m/>
    <m/>
    <m/>
    <m/>
    <m/>
    <m/>
  </r>
  <r>
    <x v="0"/>
    <s v="Shelton State Community College"/>
    <m/>
    <n v="102067"/>
    <x v="7"/>
    <n v="108232"/>
    <n v="104563"/>
    <n v="74742"/>
    <n v="71608"/>
    <n v="11927"/>
    <n v="10146"/>
    <n v="21563"/>
    <m/>
    <m/>
    <n v="22809"/>
    <m/>
    <m/>
    <m/>
    <m/>
    <n v="0"/>
    <n v="0"/>
    <m/>
    <m/>
    <m/>
    <m/>
    <m/>
    <m/>
    <m/>
    <m/>
    <m/>
    <m/>
    <m/>
    <m/>
  </r>
  <r>
    <x v="0"/>
    <s v="Southern Union State Community College"/>
    <m/>
    <n v="251260"/>
    <x v="7"/>
    <n v="114991"/>
    <n v="113983"/>
    <n v="95294"/>
    <n v="90628"/>
    <n v="2652"/>
    <n v="4598"/>
    <n v="17045"/>
    <m/>
    <m/>
    <n v="18757"/>
    <m/>
    <m/>
    <m/>
    <m/>
    <n v="0"/>
    <n v="0"/>
    <m/>
    <m/>
    <m/>
    <m/>
    <m/>
    <m/>
    <m/>
    <m/>
    <m/>
    <m/>
    <m/>
    <m/>
  </r>
  <r>
    <x v="0"/>
    <s v="George C. Wallace State Community College-Hanceville"/>
    <m/>
    <n v="101295"/>
    <x v="7"/>
    <n v="125706"/>
    <n v="125344"/>
    <n v="76454"/>
    <n v="73969"/>
    <n v="16583"/>
    <n v="16959"/>
    <n v="32669"/>
    <m/>
    <m/>
    <n v="34416"/>
    <m/>
    <m/>
    <m/>
    <m/>
    <n v="0"/>
    <n v="0"/>
    <m/>
    <m/>
    <m/>
    <m/>
    <m/>
    <m/>
    <m/>
    <m/>
    <m/>
    <m/>
    <m/>
    <m/>
  </r>
  <r>
    <x v="0"/>
    <s v="Alabama Southern Community College"/>
    <s v="*Delete after 2016-17; merged became &quot;Coastal Alabama Community College&quot;"/>
    <n v="101949"/>
    <x v="8"/>
    <n v="16895"/>
    <n v="0"/>
    <n v="7045"/>
    <n v="0"/>
    <n v="6815"/>
    <n v="0"/>
    <n v="3035"/>
    <m/>
    <m/>
    <n v="0"/>
    <m/>
    <m/>
    <m/>
    <m/>
    <n v="0"/>
    <n v="0"/>
    <m/>
    <m/>
    <m/>
    <m/>
    <m/>
    <m/>
    <m/>
    <m/>
    <m/>
    <m/>
    <m/>
    <m/>
  </r>
  <r>
    <x v="0"/>
    <s v="Central Alabama Community College"/>
    <m/>
    <n v="100760"/>
    <x v="8"/>
    <n v="39570"/>
    <n v="36381"/>
    <n v="25937"/>
    <n v="23990"/>
    <n v="3629"/>
    <n v="3162"/>
    <n v="10004"/>
    <m/>
    <m/>
    <n v="9229"/>
    <m/>
    <m/>
    <m/>
    <m/>
    <n v="0"/>
    <n v="0"/>
    <m/>
    <m/>
    <m/>
    <m/>
    <m/>
    <m/>
    <m/>
    <m/>
    <m/>
    <m/>
    <m/>
    <m/>
  </r>
  <r>
    <x v="0"/>
    <s v="Chattahoochee Valley Community College"/>
    <m/>
    <n v="101028"/>
    <x v="8"/>
    <n v="35244"/>
    <n v="37941"/>
    <n v="31423"/>
    <n v="32053"/>
    <n v="224"/>
    <n v="213"/>
    <n v="3597"/>
    <m/>
    <m/>
    <n v="5675"/>
    <m/>
    <m/>
    <m/>
    <m/>
    <n v="0"/>
    <n v="0"/>
    <m/>
    <m/>
    <m/>
    <m/>
    <m/>
    <m/>
    <m/>
    <m/>
    <m/>
    <m/>
    <m/>
    <m/>
  </r>
  <r>
    <x v="0"/>
    <s v="Enterprise State Community College"/>
    <m/>
    <n v="101143"/>
    <x v="8"/>
    <n v="39685"/>
    <n v="38860"/>
    <n v="29637"/>
    <n v="28173"/>
    <n v="1020"/>
    <n v="1468"/>
    <n v="9028"/>
    <m/>
    <m/>
    <n v="9219"/>
    <m/>
    <m/>
    <m/>
    <m/>
    <n v="0"/>
    <n v="0"/>
    <m/>
    <m/>
    <m/>
    <m/>
    <m/>
    <m/>
    <m/>
    <m/>
    <m/>
    <m/>
    <m/>
    <m/>
  </r>
  <r>
    <x v="0"/>
    <s v="George Corley Wallace State Community College - Selma"/>
    <m/>
    <n v="101301"/>
    <x v="8"/>
    <n v="40756"/>
    <n v="39404"/>
    <n v="24698"/>
    <n v="22970"/>
    <n v="1430"/>
    <n v="1218"/>
    <n v="14628"/>
    <m/>
    <m/>
    <n v="15216"/>
    <m/>
    <m/>
    <m/>
    <m/>
    <n v="0"/>
    <n v="0"/>
    <m/>
    <m/>
    <m/>
    <m/>
    <m/>
    <m/>
    <m/>
    <m/>
    <m/>
    <m/>
    <m/>
    <m/>
  </r>
  <r>
    <x v="0"/>
    <s v="Jefferson Davis Community College"/>
    <s v="*Delete after 2016-17; merged became &quot;Coastal Alabama Community College&quot;"/>
    <n v="101499"/>
    <x v="8"/>
    <n v="14839"/>
    <n v="0"/>
    <n v="7207"/>
    <n v="0"/>
    <n v="4538"/>
    <n v="0"/>
    <n v="2581"/>
    <m/>
    <n v="513"/>
    <n v="0"/>
    <m/>
    <n v="0"/>
    <m/>
    <m/>
    <n v="0"/>
    <n v="0"/>
    <m/>
    <m/>
    <m/>
    <m/>
    <m/>
    <m/>
    <m/>
    <m/>
    <m/>
    <m/>
    <m/>
    <m/>
  </r>
  <r>
    <x v="0"/>
    <s v="Lurleen B. Wallace Community College "/>
    <m/>
    <n v="101602"/>
    <x v="8"/>
    <n v="40071"/>
    <n v="41406"/>
    <n v="27714"/>
    <n v="27450"/>
    <n v="5673"/>
    <n v="5505"/>
    <n v="6684"/>
    <m/>
    <m/>
    <n v="8451"/>
    <m/>
    <m/>
    <m/>
    <m/>
    <n v="0"/>
    <n v="0"/>
    <m/>
    <m/>
    <m/>
    <m/>
    <m/>
    <m/>
    <m/>
    <m/>
    <m/>
    <m/>
    <m/>
    <m/>
  </r>
  <r>
    <x v="0"/>
    <s v="Northeast Alabama Community College"/>
    <s v="Met the criteria for Two-Year 2 in 2018-19."/>
    <n v="101897"/>
    <x v="8"/>
    <n v="56464"/>
    <n v="60811"/>
    <n v="39100"/>
    <n v="40355"/>
    <n v="0"/>
    <n v="24"/>
    <n v="17364"/>
    <m/>
    <m/>
    <n v="20432"/>
    <m/>
    <m/>
    <m/>
    <m/>
    <n v="0"/>
    <n v="0"/>
    <m/>
    <m/>
    <m/>
    <m/>
    <m/>
    <m/>
    <m/>
    <m/>
    <m/>
    <m/>
    <m/>
    <m/>
  </r>
  <r>
    <x v="0"/>
    <s v="Snead State Community College "/>
    <s v="Met the criteria for Two-Year 2 in 2018-19."/>
    <n v="102076"/>
    <x v="8"/>
    <n v="58698"/>
    <n v="60358"/>
    <n v="27443"/>
    <n v="24299"/>
    <n v="0"/>
    <n v="0"/>
    <n v="31255"/>
    <m/>
    <m/>
    <n v="36059"/>
    <m/>
    <m/>
    <m/>
    <m/>
    <n v="0"/>
    <n v="0"/>
    <m/>
    <m/>
    <m/>
    <m/>
    <m/>
    <m/>
    <m/>
    <m/>
    <m/>
    <m/>
    <m/>
    <m/>
  </r>
  <r>
    <x v="0"/>
    <s v="H. Councill Trenholm State Community College"/>
    <m/>
    <n v="102313"/>
    <x v="9"/>
    <n v="40249"/>
    <n v="41951"/>
    <n v="35030"/>
    <n v="36519"/>
    <n v="1901"/>
    <n v="1815"/>
    <n v="3318"/>
    <m/>
    <m/>
    <n v="3617"/>
    <m/>
    <m/>
    <m/>
    <m/>
    <n v="0"/>
    <n v="0"/>
    <m/>
    <m/>
    <m/>
    <m/>
    <m/>
    <m/>
    <m/>
    <m/>
    <m/>
    <m/>
    <m/>
    <m/>
  </r>
  <r>
    <x v="0"/>
    <s v="J.F. Drake State Community and Technical College"/>
    <m/>
    <n v="101462"/>
    <x v="10"/>
    <n v="18179"/>
    <n v="17250"/>
    <n v="11503"/>
    <n v="11563"/>
    <n v="2268"/>
    <n v="1918"/>
    <n v="4408"/>
    <m/>
    <m/>
    <n v="3769"/>
    <m/>
    <m/>
    <m/>
    <m/>
    <n v="0"/>
    <n v="0"/>
    <m/>
    <m/>
    <m/>
    <m/>
    <m/>
    <m/>
    <m/>
    <m/>
    <m/>
    <m/>
    <m/>
    <m/>
  </r>
  <r>
    <x v="0"/>
    <s v="J.F. Ingram State Technical College "/>
    <m/>
    <n v="101471"/>
    <x v="10"/>
    <n v="15888"/>
    <n v="14994"/>
    <n v="15888"/>
    <n v="14994"/>
    <n v="0"/>
    <n v="0"/>
    <n v="0"/>
    <m/>
    <m/>
    <n v="0"/>
    <m/>
    <m/>
    <m/>
    <m/>
    <n v="0"/>
    <n v="0"/>
    <m/>
    <m/>
    <m/>
    <m/>
    <m/>
    <m/>
    <m/>
    <m/>
    <m/>
    <m/>
    <m/>
    <m/>
  </r>
  <r>
    <x v="0"/>
    <s v="Reid State Technical College "/>
    <m/>
    <n v="101994"/>
    <x v="10"/>
    <n v="10491"/>
    <n v="8717"/>
    <n v="10491"/>
    <n v="8634"/>
    <n v="0"/>
    <n v="56"/>
    <n v="0"/>
    <m/>
    <m/>
    <n v="27"/>
    <m/>
    <m/>
    <m/>
    <m/>
    <n v="0"/>
    <n v="0"/>
    <m/>
    <m/>
    <m/>
    <m/>
    <m/>
    <m/>
    <m/>
    <m/>
    <m/>
    <m/>
    <m/>
    <m/>
  </r>
  <r>
    <x v="0"/>
    <s v="Marion Military Institute"/>
    <m/>
    <n v="101648"/>
    <x v="11"/>
    <n v="13899"/>
    <n v="13456"/>
    <n v="13796"/>
    <n v="13272"/>
    <n v="0"/>
    <n v="0"/>
    <n v="103"/>
    <m/>
    <m/>
    <n v="184"/>
    <m/>
    <m/>
    <m/>
    <m/>
    <n v="0"/>
    <n v="0"/>
    <m/>
    <m/>
    <m/>
    <m/>
    <m/>
    <m/>
    <m/>
    <m/>
    <m/>
    <m/>
    <m/>
    <m/>
  </r>
  <r>
    <x v="1"/>
    <s v="University of Arkansas, Fayetteville"/>
    <m/>
    <n v="106397"/>
    <x v="0"/>
    <n v="648938"/>
    <n v="658267"/>
    <n v="579933"/>
    <n v="586848"/>
    <n v="9280"/>
    <n v="8301"/>
    <n v="55804"/>
    <n v="342"/>
    <n v="27"/>
    <n v="58649"/>
    <n v="356"/>
    <n v="27"/>
    <n v="3552"/>
    <n v="4086"/>
    <n v="79947"/>
    <n v="79091"/>
    <n v="54611"/>
    <n v="53073"/>
    <n v="1026"/>
    <n v="556"/>
    <n v="24301"/>
    <n v="9"/>
    <n v="0"/>
    <n v="25272"/>
    <n v="30"/>
    <n v="0"/>
    <n v="0"/>
    <n v="160"/>
  </r>
  <r>
    <x v="1"/>
    <s v="University of Arkansas at Little Rock"/>
    <m/>
    <n v="106245"/>
    <x v="1"/>
    <n v="205875"/>
    <n v="203956"/>
    <n v="111480"/>
    <n v="105993"/>
    <n v="22281"/>
    <n v="25264"/>
    <n v="72114"/>
    <n v="0"/>
    <n v="0"/>
    <n v="72603"/>
    <n v="0"/>
    <n v="0"/>
    <n v="0"/>
    <n v="96"/>
    <n v="42251"/>
    <n v="42678"/>
    <n v="29969"/>
    <n v="29534"/>
    <n v="204"/>
    <n v="665"/>
    <n v="12078"/>
    <n v="0"/>
    <n v="0"/>
    <n v="12446"/>
    <n v="0"/>
    <n v="0"/>
    <n v="0"/>
    <n v="33"/>
  </r>
  <r>
    <x v="1"/>
    <s v="Arkansas State University"/>
    <m/>
    <n v="106458"/>
    <x v="2"/>
    <n v="263051"/>
    <n v="259951"/>
    <n v="167218"/>
    <n v="164056"/>
    <n v="16066"/>
    <n v="16221"/>
    <n v="78563"/>
    <n v="1204"/>
    <n v="0"/>
    <n v="78616"/>
    <n v="987"/>
    <n v="0"/>
    <n v="0"/>
    <n v="71"/>
    <n v="97384"/>
    <n v="99847"/>
    <n v="22027"/>
    <n v="21978"/>
    <n v="12"/>
    <n v="6"/>
    <n v="75330"/>
    <n v="0"/>
    <n v="15"/>
    <n v="77833"/>
    <n v="0"/>
    <n v="15"/>
    <n v="0"/>
    <n v="15"/>
  </r>
  <r>
    <x v="1"/>
    <s v="Arkansas Tech University"/>
    <m/>
    <n v="106467"/>
    <x v="2"/>
    <n v="231675"/>
    <n v="243727"/>
    <n v="157263"/>
    <n v="161776"/>
    <n v="13568"/>
    <n v="17997"/>
    <n v="58822"/>
    <n v="0"/>
    <n v="2022"/>
    <n v="61999"/>
    <n v="0"/>
    <n v="1955"/>
    <n v="0"/>
    <n v="0"/>
    <n v="14243"/>
    <n v="15860"/>
    <n v="4456"/>
    <n v="5220"/>
    <n v="302"/>
    <n v="150"/>
    <n v="8924"/>
    <n v="0"/>
    <n v="561"/>
    <n v="9793"/>
    <n v="0"/>
    <n v="697"/>
    <n v="0"/>
    <n v="0"/>
  </r>
  <r>
    <x v="1"/>
    <s v="University of Central Arkansas "/>
    <m/>
    <n v="106704"/>
    <x v="2"/>
    <n v="265178"/>
    <n v="262529"/>
    <n v="236960"/>
    <n v="231454"/>
    <n v="4256"/>
    <n v="4324"/>
    <n v="23776"/>
    <n v="186"/>
    <n v="0"/>
    <n v="26355"/>
    <n v="378"/>
    <n v="0"/>
    <n v="0"/>
    <n v="18"/>
    <n v="37102"/>
    <n v="36613"/>
    <n v="20105"/>
    <n v="20558"/>
    <n v="0"/>
    <n v="0"/>
    <n v="12202"/>
    <n v="4795"/>
    <n v="0"/>
    <n v="11806"/>
    <n v="4249"/>
    <n v="0"/>
    <n v="0"/>
    <n v="0"/>
  </r>
  <r>
    <x v="1"/>
    <s v="Henderson State University"/>
    <m/>
    <n v="107071"/>
    <x v="3"/>
    <n v="83926"/>
    <n v="83324"/>
    <n v="66438"/>
    <n v="64997"/>
    <n v="2225"/>
    <n v="1824"/>
    <n v="15263"/>
    <n v="0"/>
    <n v="0"/>
    <n v="16358"/>
    <n v="0"/>
    <n v="0"/>
    <n v="0"/>
    <n v="145"/>
    <n v="7745"/>
    <n v="7674"/>
    <n v="2186"/>
    <n v="2179"/>
    <n v="168"/>
    <n v="129"/>
    <n v="5391"/>
    <n v="0"/>
    <n v="0"/>
    <n v="5357"/>
    <n v="0"/>
    <n v="0"/>
    <n v="0"/>
    <n v="9"/>
  </r>
  <r>
    <x v="1"/>
    <s v="Southern Arkansas University"/>
    <m/>
    <n v="107983"/>
    <x v="3"/>
    <n v="94715"/>
    <n v="96189"/>
    <n v="75063"/>
    <n v="75130"/>
    <n v="2062"/>
    <n v="1995"/>
    <n v="17590"/>
    <n v="0"/>
    <n v="0"/>
    <n v="19064"/>
    <n v="0"/>
    <n v="0"/>
    <n v="0"/>
    <n v="0"/>
    <n v="22276"/>
    <n v="17821"/>
    <n v="1827"/>
    <n v="1578"/>
    <n v="4072"/>
    <n v="2455"/>
    <n v="16377"/>
    <n v="0"/>
    <n v="0"/>
    <n v="13788"/>
    <n v="0"/>
    <n v="0"/>
    <n v="0"/>
    <n v="0"/>
  </r>
  <r>
    <x v="1"/>
    <s v="University of Arkansas at Monticello"/>
    <s v="Met the criteria for Four-Year 4 in 2017-18 and 2018-19."/>
    <n v="106485"/>
    <x v="4"/>
    <n v="74004"/>
    <n v="78724"/>
    <n v="49391"/>
    <n v="49046"/>
    <n v="7076"/>
    <n v="10739"/>
    <n v="17519"/>
    <n v="18"/>
    <n v="0"/>
    <n v="18336"/>
    <n v="3"/>
    <n v="0"/>
    <n v="0"/>
    <n v="600"/>
    <n v="5793"/>
    <n v="5987"/>
    <n v="855"/>
    <n v="979"/>
    <n v="0"/>
    <m/>
    <n v="4938"/>
    <n v="0"/>
    <n v="0"/>
    <n v="5008"/>
    <n v="0"/>
    <n v="0"/>
    <n v="0"/>
    <n v="0"/>
  </r>
  <r>
    <x v="1"/>
    <s v="University of Arkansas at Fort Smith"/>
    <m/>
    <n v="108092"/>
    <x v="5"/>
    <n v="158357"/>
    <n v="157956"/>
    <n v="116105"/>
    <n v="105474"/>
    <n v="4300"/>
    <n v="12470"/>
    <n v="37952"/>
    <n v="0"/>
    <n v="0"/>
    <n v="40012"/>
    <n v="0"/>
    <n v="0"/>
    <n v="0"/>
    <n v="0"/>
    <n v="186"/>
    <n v="231"/>
    <n v="0"/>
    <n v="0"/>
    <n v="0"/>
    <m/>
    <n v="186"/>
    <n v="0"/>
    <n v="0"/>
    <n v="231"/>
    <n v="0"/>
    <n v="0"/>
    <n v="0"/>
    <n v="0"/>
  </r>
  <r>
    <x v="1"/>
    <s v="University of Arkansas at Pine Bluff"/>
    <s v="Met the criteria for Four-Year 4 in 2018-19."/>
    <n v="106412"/>
    <x v="5"/>
    <n v="73528"/>
    <n v="72699"/>
    <n v="60050"/>
    <n v="59360"/>
    <n v="72"/>
    <n v="108"/>
    <n v="13406"/>
    <n v="0"/>
    <n v="0"/>
    <n v="13231"/>
    <n v="0"/>
    <n v="0"/>
    <n v="0"/>
    <n v="0"/>
    <n v="1472"/>
    <n v="1493"/>
    <n v="1172"/>
    <n v="1160"/>
    <n v="0"/>
    <m/>
    <n v="300"/>
    <n v="0"/>
    <n v="0"/>
    <n v="333"/>
    <n v="0"/>
    <n v="0"/>
    <n v="0"/>
    <n v="0"/>
  </r>
  <r>
    <x v="1"/>
    <s v="Northwest Arkansas Community College "/>
    <s v="Met the criteria for Two-Year 2 in 2018-19. "/>
    <n v="367459"/>
    <x v="6"/>
    <n v="150029"/>
    <n v="148520"/>
    <n v="91859"/>
    <n v="90267"/>
    <n v="16255"/>
    <n v="15621"/>
    <n v="41915"/>
    <n v="0"/>
    <n v="0"/>
    <n v="42628"/>
    <n v="0"/>
    <n v="0"/>
    <n v="0"/>
    <n v="4"/>
    <n v="0"/>
    <n v="0"/>
    <m/>
    <m/>
    <m/>
    <m/>
    <m/>
    <m/>
    <m/>
    <m/>
    <m/>
    <m/>
    <m/>
    <m/>
  </r>
  <r>
    <x v="1"/>
    <s v="University of Arkansas - Pulaski Technical College"/>
    <s v="Reclassified: Met the criteria for Two-Year 2 in 2016-17, 2017-18, 2018-19. "/>
    <n v="107664"/>
    <x v="7"/>
    <n v="124411"/>
    <n v="118721"/>
    <n v="80904"/>
    <n v="75482"/>
    <n v="1336"/>
    <n v="2538"/>
    <n v="42171"/>
    <n v="0"/>
    <n v="0"/>
    <n v="40567"/>
    <n v="0"/>
    <n v="0"/>
    <n v="0"/>
    <n v="134"/>
    <n v="0"/>
    <n v="0"/>
    <m/>
    <m/>
    <m/>
    <m/>
    <m/>
    <m/>
    <m/>
    <m/>
    <m/>
    <m/>
    <m/>
    <m/>
  </r>
  <r>
    <x v="1"/>
    <s v="Arkansas State University-Beebe"/>
    <m/>
    <n v="106449"/>
    <x v="7"/>
    <n v="82537"/>
    <n v="80683"/>
    <n v="53325"/>
    <n v="50029"/>
    <n v="8419"/>
    <n v="9283"/>
    <n v="20724"/>
    <n v="69"/>
    <n v="0"/>
    <n v="21314"/>
    <n v="57"/>
    <n v="0"/>
    <n v="0"/>
    <n v="0"/>
    <n v="0"/>
    <n v="0"/>
    <m/>
    <m/>
    <m/>
    <m/>
    <m/>
    <m/>
    <m/>
    <m/>
    <m/>
    <m/>
    <m/>
    <m/>
  </r>
  <r>
    <x v="1"/>
    <s v="Arkansas Northeastern College"/>
    <m/>
    <n v="107327"/>
    <x v="8"/>
    <n v="28028"/>
    <n v="27550"/>
    <n v="18775"/>
    <n v="17656"/>
    <n v="311"/>
    <n v="389"/>
    <n v="8942"/>
    <n v="0"/>
    <n v="0"/>
    <n v="9505"/>
    <n v="0"/>
    <n v="0"/>
    <n v="0"/>
    <n v="0"/>
    <n v="0"/>
    <n v="0"/>
    <m/>
    <m/>
    <m/>
    <m/>
    <m/>
    <m/>
    <m/>
    <m/>
    <m/>
    <m/>
    <m/>
    <m/>
  </r>
  <r>
    <x v="1"/>
    <s v="Arkansas State University Mid-South"/>
    <m/>
    <n v="107318"/>
    <x v="8"/>
    <n v="28008"/>
    <n v="27040"/>
    <n v="23620"/>
    <n v="22214"/>
    <n v="12"/>
    <n v="0"/>
    <n v="4376"/>
    <n v="0"/>
    <n v="0"/>
    <n v="4820"/>
    <n v="0"/>
    <n v="0"/>
    <n v="0"/>
    <n v="6"/>
    <n v="0"/>
    <n v="0"/>
    <m/>
    <m/>
    <m/>
    <m/>
    <m/>
    <m/>
    <m/>
    <m/>
    <m/>
    <m/>
    <m/>
    <m/>
  </r>
  <r>
    <x v="1"/>
    <s v="Arkansas State University Mountain Home"/>
    <m/>
    <n v="420538"/>
    <x v="8"/>
    <n v="29408"/>
    <n v="29732"/>
    <n v="12951"/>
    <n v="14046"/>
    <n v="5024"/>
    <n v="4148"/>
    <n v="10949"/>
    <n v="484"/>
    <n v="0"/>
    <n v="11232"/>
    <n v="306"/>
    <n v="0"/>
    <n v="0"/>
    <n v="0"/>
    <n v="0"/>
    <n v="0"/>
    <m/>
    <m/>
    <m/>
    <m/>
    <m/>
    <m/>
    <m/>
    <m/>
    <m/>
    <m/>
    <m/>
    <m/>
  </r>
  <r>
    <x v="1"/>
    <s v="Arkansas State University-Newport"/>
    <m/>
    <n v="440402"/>
    <x v="8"/>
    <n v="55631"/>
    <n v="55831"/>
    <n v="29607"/>
    <n v="29603"/>
    <n v="5075"/>
    <n v="4470"/>
    <n v="20949"/>
    <n v="0"/>
    <n v="0"/>
    <n v="21758"/>
    <n v="0"/>
    <n v="0"/>
    <n v="0"/>
    <n v="0"/>
    <n v="0"/>
    <n v="0"/>
    <m/>
    <m/>
    <m/>
    <m/>
    <m/>
    <m/>
    <m/>
    <m/>
    <m/>
    <m/>
    <m/>
    <m/>
  </r>
  <r>
    <x v="1"/>
    <s v="Black River Technical College"/>
    <m/>
    <n v="106625"/>
    <x v="8"/>
    <n v="32148"/>
    <n v="36408"/>
    <n v="18356"/>
    <n v="17580"/>
    <n v="2118"/>
    <n v="7400"/>
    <n v="10290"/>
    <n v="1384"/>
    <n v="0"/>
    <n v="10401"/>
    <n v="1027"/>
    <n v="0"/>
    <n v="0"/>
    <n v="0"/>
    <n v="0"/>
    <n v="0"/>
    <m/>
    <m/>
    <m/>
    <m/>
    <m/>
    <m/>
    <m/>
    <m/>
    <m/>
    <m/>
    <m/>
    <m/>
  </r>
  <r>
    <x v="1"/>
    <s v="College of the Ouachitas"/>
    <s v="*Delete after 2016-17; institution is in the process of joining one of our university systems"/>
    <n v="107521"/>
    <x v="8"/>
    <n v="23499"/>
    <n v="22640"/>
    <n v="18244"/>
    <n v="16286"/>
    <n v="1339"/>
    <n v="3015"/>
    <n v="3916"/>
    <n v="0"/>
    <n v="0"/>
    <n v="3339"/>
    <n v="0"/>
    <n v="0"/>
    <n v="0"/>
    <n v="0"/>
    <n v="0"/>
    <n v="0"/>
    <m/>
    <m/>
    <m/>
    <m/>
    <m/>
    <m/>
    <m/>
    <m/>
    <m/>
    <m/>
    <m/>
    <m/>
  </r>
  <r>
    <x v="1"/>
    <s v="Cossatot Community College of the University of Arkansas"/>
    <m/>
    <n v="106795"/>
    <x v="8"/>
    <n v="27395"/>
    <n v="27222"/>
    <n v="6314"/>
    <n v="6431"/>
    <n v="10377"/>
    <n v="9389"/>
    <n v="7550"/>
    <n v="3154"/>
    <n v="0"/>
    <n v="8488"/>
    <n v="2914"/>
    <n v="0"/>
    <n v="0"/>
    <n v="0"/>
    <n v="0"/>
    <n v="0"/>
    <m/>
    <m/>
    <m/>
    <m/>
    <m/>
    <m/>
    <m/>
    <m/>
    <m/>
    <m/>
    <m/>
    <m/>
  </r>
  <r>
    <x v="1"/>
    <s v="East Arkansas Community College "/>
    <m/>
    <n v="106883"/>
    <x v="8"/>
    <n v="19473"/>
    <n v="19730"/>
    <n v="9276"/>
    <n v="8343"/>
    <n v="3782"/>
    <n v="4172"/>
    <n v="6415"/>
    <n v="0"/>
    <n v="0"/>
    <n v="7175"/>
    <n v="0"/>
    <n v="0"/>
    <n v="0"/>
    <n v="40"/>
    <n v="0"/>
    <n v="0"/>
    <m/>
    <m/>
    <m/>
    <m/>
    <m/>
    <m/>
    <m/>
    <m/>
    <m/>
    <m/>
    <m/>
    <m/>
  </r>
  <r>
    <x v="1"/>
    <s v="National Park College"/>
    <m/>
    <n v="106980"/>
    <x v="8"/>
    <n v="55130"/>
    <n v="55918"/>
    <n v="44907"/>
    <n v="49585"/>
    <n v="4889"/>
    <n v="5002"/>
    <n v="5334"/>
    <n v="0"/>
    <n v="0"/>
    <n v="0"/>
    <n v="0"/>
    <n v="0"/>
    <n v="0"/>
    <n v="1331"/>
    <n v="0"/>
    <n v="0"/>
    <m/>
    <m/>
    <m/>
    <m/>
    <m/>
    <m/>
    <m/>
    <m/>
    <m/>
    <m/>
    <m/>
    <m/>
  </r>
  <r>
    <x v="1"/>
    <s v="North Arkansas College"/>
    <m/>
    <n v="107460"/>
    <x v="8"/>
    <n v="40175"/>
    <n v="40362"/>
    <n v="29012"/>
    <n v="27926"/>
    <n v="1002"/>
    <n v="1280"/>
    <n v="10018"/>
    <n v="143"/>
    <n v="0"/>
    <n v="11041"/>
    <n v="112"/>
    <n v="0"/>
    <n v="0"/>
    <n v="3"/>
    <n v="0"/>
    <n v="0"/>
    <m/>
    <m/>
    <m/>
    <m/>
    <m/>
    <m/>
    <m/>
    <m/>
    <m/>
    <m/>
    <m/>
    <m/>
  </r>
  <r>
    <x v="1"/>
    <s v="Ozarka College "/>
    <m/>
    <n v="107549"/>
    <x v="8"/>
    <n v="24123"/>
    <n v="23859"/>
    <n v="11932"/>
    <n v="12020"/>
    <n v="1471"/>
    <n v="1543"/>
    <n v="10720"/>
    <n v="0"/>
    <n v="0"/>
    <n v="10296"/>
    <n v="0"/>
    <n v="0"/>
    <n v="0"/>
    <n v="0"/>
    <n v="0"/>
    <n v="0"/>
    <m/>
    <m/>
    <m/>
    <m/>
    <m/>
    <m/>
    <m/>
    <m/>
    <m/>
    <m/>
    <m/>
    <m/>
  </r>
  <r>
    <x v="1"/>
    <s v="Phillips Community College of the Univ of Arkansas"/>
    <m/>
    <n v="107619"/>
    <x v="8"/>
    <n v="28486"/>
    <n v="28154"/>
    <n v="21184"/>
    <n v="15284"/>
    <n v="1447"/>
    <n v="6786"/>
    <n v="3375"/>
    <n v="2480"/>
    <n v="0"/>
    <n v="3480"/>
    <n v="2604"/>
    <n v="0"/>
    <n v="0"/>
    <n v="0"/>
    <n v="0"/>
    <n v="0"/>
    <m/>
    <m/>
    <m/>
    <m/>
    <m/>
    <m/>
    <m/>
    <m/>
    <m/>
    <m/>
    <m/>
    <m/>
  </r>
  <r>
    <x v="1"/>
    <s v="University of Arkansas Community College Rich Mountain"/>
    <m/>
    <n v="107743"/>
    <x v="8"/>
    <n v="16253"/>
    <n v="16703"/>
    <n v="10256"/>
    <n v="10229"/>
    <n v="2612"/>
    <n v="2741"/>
    <n v="3024"/>
    <n v="361"/>
    <n v="0"/>
    <n v="3331"/>
    <n v="402"/>
    <n v="0"/>
    <n v="0"/>
    <n v="0"/>
    <n v="0"/>
    <n v="0"/>
    <m/>
    <m/>
    <m/>
    <m/>
    <m/>
    <m/>
    <m/>
    <m/>
    <m/>
    <m/>
    <m/>
    <m/>
  </r>
  <r>
    <x v="1"/>
    <s v="South Arkansas Community College"/>
    <m/>
    <n v="107974"/>
    <x v="8"/>
    <n v="30749"/>
    <n v="31595"/>
    <n v="17956"/>
    <n v="16962"/>
    <n v="3939"/>
    <n v="4666"/>
    <n v="8854"/>
    <n v="0"/>
    <n v="0"/>
    <n v="9967"/>
    <n v="0"/>
    <n v="0"/>
    <n v="0"/>
    <n v="0"/>
    <n v="0"/>
    <n v="0"/>
    <m/>
    <m/>
    <m/>
    <m/>
    <m/>
    <m/>
    <m/>
    <m/>
    <m/>
    <m/>
    <m/>
    <m/>
  </r>
  <r>
    <x v="1"/>
    <s v="Southeast Arkansas College"/>
    <m/>
    <n v="107637"/>
    <x v="8"/>
    <n v="26773"/>
    <n v="25740"/>
    <n v="21219"/>
    <n v="20134"/>
    <n v="940"/>
    <n v="847"/>
    <n v="4614"/>
    <n v="0"/>
    <n v="0"/>
    <n v="4759"/>
    <n v="0"/>
    <n v="0"/>
    <n v="0"/>
    <n v="0"/>
    <n v="0"/>
    <n v="0"/>
    <m/>
    <m/>
    <m/>
    <m/>
    <m/>
    <m/>
    <m/>
    <m/>
    <m/>
    <m/>
    <m/>
    <m/>
  </r>
  <r>
    <x v="1"/>
    <s v="Southern Arkansas University Tech"/>
    <m/>
    <n v="107992"/>
    <x v="8"/>
    <n v="26545"/>
    <n v="31226"/>
    <n v="12295"/>
    <n v="12347"/>
    <n v="8706"/>
    <n v="12807"/>
    <n v="5544"/>
    <n v="0"/>
    <n v="0"/>
    <n v="6072"/>
    <n v="0"/>
    <n v="0"/>
    <n v="0"/>
    <n v="0"/>
    <n v="0"/>
    <n v="0"/>
    <m/>
    <m/>
    <m/>
    <m/>
    <m/>
    <m/>
    <m/>
    <m/>
    <m/>
    <m/>
    <m/>
    <m/>
  </r>
  <r>
    <x v="1"/>
    <s v="University of Arkansas Community College at Batesville"/>
    <m/>
    <n v="106999"/>
    <x v="8"/>
    <n v="26243"/>
    <n v="26664"/>
    <n v="17150"/>
    <n v="17420"/>
    <n v="1336"/>
    <n v="1229"/>
    <n v="7757"/>
    <n v="0"/>
    <n v="0"/>
    <n v="8015"/>
    <n v="0"/>
    <n v="0"/>
    <n v="0"/>
    <n v="0"/>
    <n v="0"/>
    <n v="0"/>
    <m/>
    <m/>
    <m/>
    <m/>
    <m/>
    <m/>
    <m/>
    <m/>
    <m/>
    <m/>
    <m/>
    <m/>
  </r>
  <r>
    <x v="1"/>
    <s v="University of Arkansas Community College at Hope"/>
    <m/>
    <n v="107725"/>
    <x v="8"/>
    <n v="31184"/>
    <n v="31513"/>
    <n v="14720"/>
    <n v="14298"/>
    <n v="9004"/>
    <n v="8659"/>
    <n v="5451"/>
    <n v="2009"/>
    <n v="0"/>
    <n v="5789"/>
    <n v="2767"/>
    <n v="0"/>
    <n v="0"/>
    <n v="0"/>
    <n v="0"/>
    <n v="0"/>
    <m/>
    <m/>
    <m/>
    <m/>
    <m/>
    <m/>
    <m/>
    <m/>
    <m/>
    <m/>
    <m/>
    <m/>
  </r>
  <r>
    <x v="1"/>
    <s v="University of Arkansas Community College at Morrilton"/>
    <m/>
    <n v="107585"/>
    <x v="8"/>
    <n v="44851"/>
    <n v="43685"/>
    <n v="38993"/>
    <n v="37959"/>
    <n v="0"/>
    <n v="0"/>
    <n v="5858"/>
    <n v="0"/>
    <n v="0"/>
    <n v="5726"/>
    <n v="0"/>
    <n v="0"/>
    <n v="0"/>
    <n v="0"/>
    <n v="0"/>
    <n v="0"/>
    <m/>
    <m/>
    <m/>
    <m/>
    <m/>
    <m/>
    <m/>
    <m/>
    <m/>
    <m/>
    <m/>
    <m/>
  </r>
  <r>
    <x v="1"/>
    <s v="University of Arkansas for Medical Sciences"/>
    <m/>
    <n v="106263"/>
    <x v="11"/>
    <n v="18081"/>
    <n v="17308"/>
    <n v="12214"/>
    <n v="11248"/>
    <n v="595"/>
    <n v="782"/>
    <n v="4133"/>
    <n v="1139"/>
    <n v="0"/>
    <n v="4138"/>
    <n v="1140"/>
    <n v="0"/>
    <n v="0"/>
    <n v="0"/>
    <n v="0"/>
    <n v="0"/>
    <m/>
    <m/>
    <m/>
    <m/>
    <m/>
    <m/>
    <m/>
    <m/>
    <m/>
    <m/>
    <m/>
    <n v="0"/>
  </r>
  <r>
    <x v="2"/>
    <s v="University of Delaware"/>
    <m/>
    <n v="130943"/>
    <x v="0"/>
    <n v="583850"/>
    <n v="593876"/>
    <n v="562826"/>
    <n v="570897"/>
    <m/>
    <m/>
    <n v="21024"/>
    <n v="0"/>
    <n v="0"/>
    <n v="22979"/>
    <n v="0"/>
    <n v="0"/>
    <m/>
    <m/>
    <n v="64419"/>
    <n v="73413"/>
    <n v="56776"/>
    <n v="63260"/>
    <n v="0"/>
    <m/>
    <n v="7643"/>
    <n v="0"/>
    <n v="0"/>
    <n v="10153"/>
    <n v="0"/>
    <n v="0"/>
    <m/>
    <m/>
  </r>
  <r>
    <x v="2"/>
    <s v="Delaware State University"/>
    <m/>
    <n v="130934"/>
    <x v="2"/>
    <n v="123316"/>
    <n v="136454"/>
    <n v="116563"/>
    <n v="125999"/>
    <m/>
    <m/>
    <n v="6753"/>
    <n v="0"/>
    <n v="0"/>
    <n v="10455"/>
    <n v="0"/>
    <n v="0"/>
    <m/>
    <m/>
    <n v="5600"/>
    <n v="7965"/>
    <n v="4883"/>
    <n v="6534"/>
    <n v="0"/>
    <m/>
    <n v="717"/>
    <n v="0"/>
    <n v="0"/>
    <n v="1431"/>
    <n v="0"/>
    <n v="0"/>
    <m/>
    <m/>
  </r>
  <r>
    <x v="2"/>
    <s v="Delaware Technical and Community College--Terry"/>
    <s v="Met the criteria for Two-Year 1 in 2017-18 and 2018-19. "/>
    <n v="130907"/>
    <x v="7"/>
    <n v="268781"/>
    <n v="270379"/>
    <n v="224315"/>
    <n v="217348"/>
    <m/>
    <m/>
    <n v="43060"/>
    <n v="877"/>
    <n v="529"/>
    <n v="51446"/>
    <n v="1028"/>
    <n v="557"/>
    <m/>
    <m/>
    <n v="0"/>
    <n v="0"/>
    <m/>
    <m/>
    <m/>
    <m/>
    <m/>
    <m/>
    <m/>
    <m/>
    <m/>
    <m/>
    <m/>
    <m/>
  </r>
  <r>
    <x v="3"/>
    <m/>
    <m/>
    <m/>
    <x v="12"/>
    <m/>
    <m/>
    <m/>
    <m/>
    <m/>
    <m/>
    <m/>
    <m/>
    <m/>
    <m/>
    <m/>
    <m/>
    <m/>
    <m/>
    <m/>
    <m/>
    <m/>
    <m/>
    <m/>
    <m/>
    <m/>
    <m/>
    <m/>
    <m/>
    <m/>
    <m/>
    <m/>
    <m/>
  </r>
  <r>
    <x v="3"/>
    <s v="Eastern Florida State College"/>
    <m/>
    <n v="132693"/>
    <x v="13"/>
    <n v="310404"/>
    <n v="315350"/>
    <n v="211033"/>
    <n v="205277"/>
    <n v="7289"/>
    <n v="6589"/>
    <n v="92082"/>
    <n v="0"/>
    <n v="0"/>
    <n v="103484"/>
    <n v="0"/>
    <n v="0"/>
    <n v="0"/>
    <n v="0"/>
    <n v="0"/>
    <n v="0"/>
    <m/>
    <m/>
    <m/>
    <m/>
    <m/>
    <m/>
    <m/>
    <m/>
    <m/>
    <m/>
    <m/>
    <m/>
  </r>
  <r>
    <x v="3"/>
    <s v="Broward College "/>
    <m/>
    <n v="132709"/>
    <x v="13"/>
    <n v="858119"/>
    <n v="846913"/>
    <n v="642297"/>
    <n v="628544"/>
    <n v="52103"/>
    <n v="42184"/>
    <n v="162309"/>
    <n v="0"/>
    <n v="1410"/>
    <n v="175372"/>
    <n v="0"/>
    <n v="813"/>
    <n v="0"/>
    <n v="0"/>
    <n v="0"/>
    <n v="0"/>
    <m/>
    <m/>
    <m/>
    <m/>
    <m/>
    <m/>
    <m/>
    <m/>
    <m/>
    <m/>
    <m/>
    <m/>
  </r>
  <r>
    <x v="3"/>
    <s v="College of Central Florida"/>
    <m/>
    <n v="132851"/>
    <x v="13"/>
    <n v="148142"/>
    <n v="150116"/>
    <n v="97491"/>
    <n v="97908"/>
    <n v="0"/>
    <n v="0"/>
    <n v="50650"/>
    <n v="1"/>
    <n v="0"/>
    <n v="52208"/>
    <n v="0"/>
    <n v="0"/>
    <n v="0"/>
    <n v="0"/>
    <n v="0"/>
    <n v="0"/>
    <m/>
    <m/>
    <m/>
    <m/>
    <m/>
    <m/>
    <m/>
    <m/>
    <m/>
    <m/>
    <m/>
    <m/>
  </r>
  <r>
    <x v="3"/>
    <s v="Chipola College "/>
    <m/>
    <n v="133021"/>
    <x v="13"/>
    <n v="40003"/>
    <n v="40355"/>
    <n v="29394"/>
    <n v="27813"/>
    <n v="1476"/>
    <n v="2066"/>
    <n v="9133"/>
    <n v="0"/>
    <n v="0"/>
    <n v="10476"/>
    <n v="0"/>
    <n v="0"/>
    <n v="0"/>
    <n v="0"/>
    <n v="0"/>
    <n v="0"/>
    <m/>
    <m/>
    <m/>
    <m/>
    <m/>
    <m/>
    <m/>
    <m/>
    <m/>
    <m/>
    <m/>
    <m/>
  </r>
  <r>
    <x v="3"/>
    <s v="Daytona State College "/>
    <m/>
    <n v="133386"/>
    <x v="13"/>
    <n v="293464"/>
    <n v="282410"/>
    <n v="165740"/>
    <n v="148942"/>
    <n v="6808"/>
    <n v="7614"/>
    <n v="120916"/>
    <n v="0"/>
    <n v="0"/>
    <n v="125854"/>
    <n v="0"/>
    <n v="0"/>
    <n v="0"/>
    <n v="0"/>
    <n v="0"/>
    <n v="0"/>
    <m/>
    <m/>
    <m/>
    <m/>
    <m/>
    <m/>
    <m/>
    <m/>
    <m/>
    <m/>
    <m/>
    <m/>
  </r>
  <r>
    <x v="3"/>
    <s v="Florida SouthWestern State College"/>
    <m/>
    <n v="133508"/>
    <x v="13"/>
    <n v="326619"/>
    <n v="334341"/>
    <n v="231393"/>
    <n v="233717"/>
    <n v="15256"/>
    <n v="15731"/>
    <n v="78670"/>
    <n v="0"/>
    <n v="0"/>
    <n v="83469"/>
    <n v="0"/>
    <n v="0"/>
    <n v="1300"/>
    <n v="1424"/>
    <n v="0"/>
    <n v="0"/>
    <m/>
    <m/>
    <m/>
    <m/>
    <m/>
    <m/>
    <m/>
    <m/>
    <m/>
    <m/>
    <m/>
    <m/>
  </r>
  <r>
    <x v="3"/>
    <s v="Florida State College at Jacksonville"/>
    <m/>
    <n v="133702"/>
    <x v="13"/>
    <n v="486161"/>
    <n v="405061"/>
    <n v="273661"/>
    <n v="227688"/>
    <n v="14840"/>
    <n v="14233"/>
    <n v="197660"/>
    <n v="0"/>
    <n v="0"/>
    <n v="163140"/>
    <n v="0"/>
    <n v="0"/>
    <n v="0"/>
    <n v="0"/>
    <n v="0"/>
    <n v="0"/>
    <m/>
    <m/>
    <m/>
    <m/>
    <m/>
    <m/>
    <m/>
    <m/>
    <m/>
    <m/>
    <m/>
    <m/>
  </r>
  <r>
    <x v="3"/>
    <s v="Florida Keys Community College "/>
    <s v="Met the criteria for Two-Year with Bachelor's in 2018-19. "/>
    <n v="133960"/>
    <x v="8"/>
    <n v="20126"/>
    <n v="19537"/>
    <n v="14718"/>
    <n v="13628"/>
    <n v="958"/>
    <n v="815"/>
    <n v="4450"/>
    <n v="0"/>
    <n v="0"/>
    <n v="5094"/>
    <n v="0"/>
    <n v="0"/>
    <n v="0"/>
    <n v="0"/>
    <n v="0"/>
    <n v="0"/>
    <m/>
    <m/>
    <m/>
    <m/>
    <m/>
    <m/>
    <m/>
    <m/>
    <m/>
    <m/>
    <m/>
    <m/>
  </r>
  <r>
    <x v="3"/>
    <s v="Gulf Coast State College "/>
    <m/>
    <n v="134343"/>
    <x v="13"/>
    <n v="104166"/>
    <n v="105466"/>
    <n v="64170"/>
    <n v="63471"/>
    <n v="11132"/>
    <n v="10562"/>
    <n v="28864"/>
    <n v="0"/>
    <n v="0"/>
    <n v="31433"/>
    <n v="0"/>
    <n v="0"/>
    <n v="0"/>
    <n v="0"/>
    <n v="0"/>
    <n v="0"/>
    <m/>
    <m/>
    <m/>
    <m/>
    <m/>
    <m/>
    <m/>
    <m/>
    <m/>
    <m/>
    <m/>
    <m/>
  </r>
  <r>
    <x v="3"/>
    <s v="Hillsborough Community College "/>
    <m/>
    <n v="134495"/>
    <x v="6"/>
    <n v="563021"/>
    <n v="579678"/>
    <n v="388663"/>
    <n v="373686"/>
    <n v="20438"/>
    <n v="21989"/>
    <n v="153144"/>
    <n v="0"/>
    <n v="776"/>
    <n v="184003"/>
    <n v="0"/>
    <n v="0"/>
    <n v="0"/>
    <n v="0"/>
    <n v="0"/>
    <n v="0"/>
    <m/>
    <m/>
    <m/>
    <m/>
    <m/>
    <m/>
    <m/>
    <m/>
    <m/>
    <m/>
    <m/>
    <m/>
  </r>
  <r>
    <x v="3"/>
    <s v="Indian River State College "/>
    <m/>
    <n v="134608"/>
    <x v="13"/>
    <n v="345104"/>
    <n v="334639"/>
    <n v="219547"/>
    <n v="190271"/>
    <n v="31207"/>
    <n v="49203"/>
    <n v="94037"/>
    <n v="0"/>
    <n v="0"/>
    <n v="61281"/>
    <n v="0"/>
    <n v="33691"/>
    <n v="313"/>
    <n v="193"/>
    <n v="0"/>
    <n v="0"/>
    <m/>
    <m/>
    <m/>
    <m/>
    <m/>
    <m/>
    <m/>
    <m/>
    <m/>
    <m/>
    <m/>
    <m/>
  </r>
  <r>
    <x v="3"/>
    <s v="Florida Gateway College"/>
    <m/>
    <n v="135160"/>
    <x v="13"/>
    <n v="60992"/>
    <n v="63453"/>
    <n v="24704"/>
    <n v="24108"/>
    <n v="5460"/>
    <n v="4749"/>
    <n v="30822"/>
    <n v="0"/>
    <n v="6"/>
    <n v="34596"/>
    <n v="0"/>
    <n v="0"/>
    <n v="0"/>
    <n v="0"/>
    <n v="0"/>
    <n v="0"/>
    <m/>
    <m/>
    <m/>
    <m/>
    <m/>
    <m/>
    <m/>
    <m/>
    <m/>
    <m/>
    <m/>
    <m/>
  </r>
  <r>
    <x v="3"/>
    <s v="Lake-Sumter State College "/>
    <m/>
    <n v="135188"/>
    <x v="13"/>
    <n v="91458"/>
    <n v="95582"/>
    <n v="63244"/>
    <n v="62930"/>
    <n v="0"/>
    <n v="0"/>
    <n v="28214"/>
    <n v="0"/>
    <n v="0"/>
    <n v="32652"/>
    <n v="0"/>
    <n v="0"/>
    <n v="0"/>
    <n v="0"/>
    <n v="0"/>
    <n v="0"/>
    <m/>
    <m/>
    <m/>
    <m/>
    <m/>
    <m/>
    <m/>
    <m/>
    <m/>
    <m/>
    <m/>
    <m/>
  </r>
  <r>
    <x v="3"/>
    <s v="State College of Florida, Manatee-Sarasota"/>
    <m/>
    <n v="135391"/>
    <x v="13"/>
    <n v="209396"/>
    <n v="203423"/>
    <n v="125418"/>
    <n v="117600"/>
    <n v="11221"/>
    <n v="10122"/>
    <n v="72757"/>
    <n v="0"/>
    <n v="0"/>
    <n v="75701"/>
    <n v="0"/>
    <n v="0"/>
    <n v="0"/>
    <n v="0"/>
    <n v="0"/>
    <n v="0"/>
    <m/>
    <m/>
    <m/>
    <m/>
    <m/>
    <m/>
    <m/>
    <m/>
    <m/>
    <m/>
    <m/>
    <m/>
  </r>
  <r>
    <x v="3"/>
    <s v="Miami Dade College "/>
    <m/>
    <n v="135717"/>
    <x v="13"/>
    <n v="1343994"/>
    <n v="1360384"/>
    <n v="1200118"/>
    <n v="1196201"/>
    <n v="18946"/>
    <n v="19712"/>
    <n v="123281"/>
    <n v="0"/>
    <n v="0"/>
    <n v="142977"/>
    <n v="0"/>
    <n v="0"/>
    <n v="1649"/>
    <n v="1494"/>
    <n v="0"/>
    <n v="0"/>
    <m/>
    <m/>
    <m/>
    <m/>
    <m/>
    <m/>
    <m/>
    <m/>
    <m/>
    <m/>
    <m/>
    <m/>
  </r>
  <r>
    <x v="3"/>
    <s v="North Florida Community College "/>
    <m/>
    <n v="136145"/>
    <x v="8"/>
    <n v="22174"/>
    <n v="22801"/>
    <n v="13899"/>
    <n v="13261"/>
    <n v="456"/>
    <n v="420"/>
    <n v="7819"/>
    <n v="0"/>
    <n v="0"/>
    <n v="9039"/>
    <n v="0"/>
    <n v="81"/>
    <n v="0"/>
    <n v="0"/>
    <n v="0"/>
    <n v="0"/>
    <m/>
    <m/>
    <m/>
    <m/>
    <m/>
    <m/>
    <m/>
    <m/>
    <m/>
    <m/>
    <m/>
    <m/>
  </r>
  <r>
    <x v="3"/>
    <s v="Northwest Florida State College"/>
    <m/>
    <n v="136233"/>
    <x v="13"/>
    <n v="109129"/>
    <n v="108372"/>
    <n v="65949"/>
    <n v="62708"/>
    <n v="9073"/>
    <n v="7763"/>
    <n v="34107"/>
    <n v="0"/>
    <n v="0"/>
    <n v="37901"/>
    <n v="0"/>
    <n v="0"/>
    <n v="0"/>
    <n v="0"/>
    <n v="0"/>
    <n v="0"/>
    <m/>
    <m/>
    <m/>
    <m/>
    <m/>
    <m/>
    <m/>
    <m/>
    <m/>
    <m/>
    <m/>
    <m/>
  </r>
  <r>
    <x v="3"/>
    <s v="Palm Beach State College "/>
    <m/>
    <n v="136358"/>
    <x v="13"/>
    <n v="585968"/>
    <n v="596392"/>
    <n v="467394"/>
    <n v="465210"/>
    <n v="8093"/>
    <n v="7873"/>
    <n v="108085"/>
    <n v="0"/>
    <n v="2396"/>
    <n v="120172"/>
    <n v="0"/>
    <n v="3137"/>
    <n v="0"/>
    <n v="0"/>
    <n v="0"/>
    <n v="0"/>
    <m/>
    <m/>
    <m/>
    <m/>
    <m/>
    <m/>
    <m/>
    <m/>
    <m/>
    <m/>
    <m/>
    <m/>
  </r>
  <r>
    <x v="3"/>
    <s v="Pasco-Hernando State College "/>
    <s v="Reclassified: Met the criteria for Two-Year with Bachelor's in 2016-17, 2017-18, and 2018-19. "/>
    <n v="136400"/>
    <x v="13"/>
    <n v="218649"/>
    <n v="219112"/>
    <n v="146423"/>
    <n v="141219"/>
    <n v="10061"/>
    <n v="10291"/>
    <n v="62165"/>
    <n v="0"/>
    <n v="0"/>
    <n v="67602"/>
    <n v="0"/>
    <n v="0"/>
    <n v="0"/>
    <n v="0"/>
    <n v="0"/>
    <n v="0"/>
    <m/>
    <m/>
    <m/>
    <m/>
    <m/>
    <m/>
    <m/>
    <m/>
    <m/>
    <m/>
    <m/>
    <m/>
  </r>
  <r>
    <x v="3"/>
    <s v="Pensacola State College "/>
    <m/>
    <n v="136473"/>
    <x v="13"/>
    <n v="195818"/>
    <n v="200019"/>
    <n v="127304"/>
    <n v="125242"/>
    <n v="17127"/>
    <n v="16730"/>
    <n v="50455"/>
    <n v="932"/>
    <n v="0"/>
    <n v="57169"/>
    <n v="878"/>
    <n v="0"/>
    <n v="0"/>
    <n v="0"/>
    <n v="0"/>
    <n v="0"/>
    <m/>
    <m/>
    <m/>
    <m/>
    <m/>
    <m/>
    <m/>
    <m/>
    <m/>
    <m/>
    <m/>
    <m/>
  </r>
  <r>
    <x v="3"/>
    <s v="Polk State College "/>
    <m/>
    <n v="136516"/>
    <x v="13"/>
    <n v="194341"/>
    <n v="194576"/>
    <n v="111408"/>
    <n v="105703"/>
    <n v="21844"/>
    <n v="21950"/>
    <n v="61089"/>
    <n v="0"/>
    <n v="0"/>
    <n v="66923"/>
    <n v="0"/>
    <n v="0"/>
    <n v="0"/>
    <n v="0"/>
    <n v="0"/>
    <n v="0"/>
    <m/>
    <m/>
    <m/>
    <m/>
    <m/>
    <m/>
    <m/>
    <m/>
    <m/>
    <m/>
    <m/>
    <m/>
  </r>
  <r>
    <x v="3"/>
    <s v="St. Petersburg College "/>
    <m/>
    <n v="137078"/>
    <x v="13"/>
    <n v="559640"/>
    <n v="550946"/>
    <n v="308366"/>
    <n v="287218"/>
    <n v="0"/>
    <n v="0"/>
    <n v="251274"/>
    <n v="0"/>
    <n v="0"/>
    <n v="263728"/>
    <n v="0"/>
    <n v="0"/>
    <n v="0"/>
    <n v="0"/>
    <n v="0"/>
    <n v="0"/>
    <m/>
    <m/>
    <m/>
    <m/>
    <m/>
    <m/>
    <m/>
    <m/>
    <m/>
    <m/>
    <m/>
    <m/>
  </r>
  <r>
    <x v="3"/>
    <s v="Santa Fe College "/>
    <m/>
    <n v="137096"/>
    <x v="13"/>
    <n v="313939"/>
    <n v="310541"/>
    <n v="233467"/>
    <n v="227771"/>
    <n v="4106"/>
    <n v="4020"/>
    <n v="76366"/>
    <n v="0"/>
    <n v="0"/>
    <n v="78750"/>
    <n v="0"/>
    <n v="0"/>
    <n v="0"/>
    <n v="0"/>
    <n v="0"/>
    <n v="0"/>
    <m/>
    <m/>
    <m/>
    <m/>
    <m/>
    <m/>
    <m/>
    <m/>
    <m/>
    <m/>
    <m/>
    <m/>
  </r>
  <r>
    <x v="3"/>
    <s v="Seminole State College of Florida"/>
    <m/>
    <n v="137209"/>
    <x v="13"/>
    <n v="335561"/>
    <n v="338854"/>
    <n v="218881"/>
    <n v="210550"/>
    <n v="0"/>
    <n v="0"/>
    <n v="116680"/>
    <n v="0"/>
    <n v="0"/>
    <n v="128304"/>
    <n v="0"/>
    <n v="0"/>
    <n v="0"/>
    <n v="0"/>
    <n v="0"/>
    <n v="0"/>
    <m/>
    <m/>
    <m/>
    <m/>
    <m/>
    <m/>
    <m/>
    <m/>
    <m/>
    <m/>
    <m/>
    <m/>
  </r>
  <r>
    <x v="3"/>
    <s v="St. Johns River State College "/>
    <m/>
    <n v="137281"/>
    <x v="13"/>
    <n v="130215"/>
    <n v="132562"/>
    <n v="73667"/>
    <n v="69707"/>
    <n v="16328"/>
    <n v="18518"/>
    <n v="40220"/>
    <n v="0"/>
    <n v="0"/>
    <n v="44337"/>
    <n v="0"/>
    <n v="0"/>
    <n v="0"/>
    <n v="0"/>
    <n v="0"/>
    <n v="0"/>
    <m/>
    <m/>
    <m/>
    <m/>
    <m/>
    <m/>
    <m/>
    <m/>
    <m/>
    <m/>
    <m/>
    <m/>
  </r>
  <r>
    <x v="3"/>
    <s v="South Florida State College "/>
    <m/>
    <n v="137315"/>
    <x v="13"/>
    <n v="47642"/>
    <n v="48386"/>
    <n v="26094"/>
    <n v="25116"/>
    <n v="10629"/>
    <n v="10347"/>
    <n v="10832"/>
    <n v="0"/>
    <n v="87"/>
    <n v="12872"/>
    <n v="4"/>
    <n v="47"/>
    <n v="0"/>
    <n v="0"/>
    <n v="0"/>
    <n v="0"/>
    <m/>
    <m/>
    <m/>
    <m/>
    <m/>
    <m/>
    <m/>
    <m/>
    <m/>
    <m/>
    <m/>
    <m/>
  </r>
  <r>
    <x v="3"/>
    <s v="Tallahassee Community College "/>
    <m/>
    <n v="137759"/>
    <x v="6"/>
    <n v="261138"/>
    <n v="265558"/>
    <n v="188597"/>
    <n v="178837"/>
    <n v="11117"/>
    <n v="11853"/>
    <n v="61424"/>
    <n v="0"/>
    <n v="0"/>
    <n v="74868"/>
    <n v="0"/>
    <n v="0"/>
    <n v="0"/>
    <n v="0"/>
    <n v="0"/>
    <n v="0"/>
    <m/>
    <m/>
    <m/>
    <m/>
    <m/>
    <m/>
    <m/>
    <m/>
    <m/>
    <m/>
    <m/>
    <m/>
  </r>
  <r>
    <x v="3"/>
    <s v="Valencia College "/>
    <m/>
    <n v="138187"/>
    <x v="13"/>
    <n v="904144"/>
    <n v="944854"/>
    <n v="632191"/>
    <n v="631666"/>
    <n v="16576"/>
    <n v="27641"/>
    <n v="255377"/>
    <n v="0"/>
    <n v="0"/>
    <n v="285547"/>
    <n v="0"/>
    <n v="0"/>
    <n v="0"/>
    <n v="0"/>
    <n v="0"/>
    <n v="0"/>
    <m/>
    <m/>
    <m/>
    <m/>
    <m/>
    <m/>
    <m/>
    <m/>
    <m/>
    <m/>
    <m/>
    <m/>
  </r>
  <r>
    <x v="4"/>
    <s v="Georgia State University "/>
    <m/>
    <s v="139940"/>
    <x v="0"/>
    <n v="1079128"/>
    <n v="1112833.5"/>
    <n v="878485"/>
    <n v="892341.5"/>
    <n v="7973"/>
    <n v="8007"/>
    <n v="192670"/>
    <n v="0"/>
    <n v="0"/>
    <n v="212485"/>
    <n v="0"/>
    <n v="0"/>
    <n v="0"/>
    <n v="0"/>
    <n v="228447.5"/>
    <n v="223137"/>
    <n v="121768.5"/>
    <n v="119984.5"/>
    <n v="93810.5"/>
    <n v="87899"/>
    <n v="12868.5"/>
    <n v="0"/>
    <n v="0"/>
    <n v="15253.5"/>
    <n v="0"/>
    <n v="0"/>
    <n v="0"/>
    <n v="0"/>
  </r>
  <r>
    <x v="4"/>
    <s v="University of Georgia"/>
    <m/>
    <s v="139959"/>
    <x v="0"/>
    <n v="825066"/>
    <n v="849589.5"/>
    <n v="756415"/>
    <n v="771468.5"/>
    <n v="23696"/>
    <n v="24111"/>
    <n v="44955"/>
    <n v="0"/>
    <n v="0"/>
    <n v="54010"/>
    <n v="0"/>
    <n v="0"/>
    <n v="0"/>
    <n v="0"/>
    <n v="266525.45"/>
    <n v="274717.90000000002"/>
    <n v="216533.15"/>
    <n v="222339.6"/>
    <n v="37159.800000000003"/>
    <n v="37534.800000000003"/>
    <n v="12832.5"/>
    <n v="0"/>
    <n v="0"/>
    <n v="14843.5"/>
    <n v="0"/>
    <n v="0"/>
    <n v="0"/>
    <n v="0"/>
  </r>
  <r>
    <x v="4"/>
    <s v="Georgia Institute of Technology"/>
    <m/>
    <s v="139755"/>
    <x v="1"/>
    <n v="438044"/>
    <n v="448495"/>
    <n v="416332"/>
    <n v="420703"/>
    <n v="15181"/>
    <n v="15600"/>
    <n v="6531"/>
    <n v="0"/>
    <n v="0"/>
    <n v="12192"/>
    <n v="0"/>
    <n v="0"/>
    <n v="0"/>
    <n v="0"/>
    <n v="305290.5"/>
    <n v="332827.5"/>
    <n v="243712.5"/>
    <n v="243173.5"/>
    <n v="4653"/>
    <n v="2564"/>
    <n v="56925"/>
    <n v="0"/>
    <n v="0"/>
    <n v="87090"/>
    <n v="0"/>
    <n v="0"/>
    <n v="0"/>
    <n v="0"/>
  </r>
  <r>
    <x v="4"/>
    <s v="Georgia Southern University"/>
    <m/>
    <s v="139931"/>
    <x v="2"/>
    <n v="516394"/>
    <n v="658740"/>
    <n v="425817"/>
    <n v="535887"/>
    <n v="4024"/>
    <n v="9192"/>
    <n v="86493"/>
    <n v="0"/>
    <n v="60"/>
    <n v="113543"/>
    <n v="0"/>
    <n v="118"/>
    <n v="0"/>
    <n v="0"/>
    <n v="47500"/>
    <n v="60765"/>
    <n v="19526"/>
    <n v="27405"/>
    <n v="805"/>
    <n v="750"/>
    <n v="27110"/>
    <n v="0"/>
    <n v="59"/>
    <n v="32610"/>
    <n v="0"/>
    <n v="0"/>
    <n v="0"/>
    <n v="0"/>
  </r>
  <r>
    <x v="4"/>
    <s v="Kennesaw State University"/>
    <m/>
    <s v="140164"/>
    <x v="2"/>
    <n v="858952"/>
    <n v="865628"/>
    <n v="646729"/>
    <n v="630086"/>
    <n v="2475"/>
    <n v="1246"/>
    <n v="209748"/>
    <n v="0"/>
    <n v="0"/>
    <n v="234296"/>
    <n v="0"/>
    <n v="0"/>
    <n v="0"/>
    <n v="0"/>
    <n v="50524"/>
    <n v="54559"/>
    <n v="22281"/>
    <n v="22046"/>
    <n v="6"/>
    <n v="236"/>
    <n v="28237"/>
    <n v="0"/>
    <n v="0"/>
    <n v="32277"/>
    <n v="0"/>
    <n v="0"/>
    <n v="0"/>
    <n v="0"/>
  </r>
  <r>
    <x v="4"/>
    <s v="University of West Georgia"/>
    <m/>
    <s v="141334"/>
    <x v="2"/>
    <n v="301158"/>
    <n v="299840"/>
    <n v="199333"/>
    <n v="185336"/>
    <n v="11114"/>
    <n v="11946"/>
    <n v="90711"/>
    <n v="0"/>
    <n v="0"/>
    <n v="102558"/>
    <n v="0"/>
    <n v="0"/>
    <n v="0"/>
    <n v="0"/>
    <n v="38681"/>
    <n v="43601"/>
    <n v="6242"/>
    <n v="6361"/>
    <n v="852"/>
    <n v="519"/>
    <n v="31587"/>
    <n v="0"/>
    <n v="0"/>
    <n v="36721"/>
    <n v="0"/>
    <n v="0"/>
    <n v="0"/>
    <n v="0"/>
  </r>
  <r>
    <x v="4"/>
    <s v="Valdosta State University "/>
    <m/>
    <s v="141264"/>
    <x v="2"/>
    <n v="236535"/>
    <n v="235745"/>
    <n v="187610"/>
    <n v="181218"/>
    <n v="1373"/>
    <n v="1244"/>
    <n v="47324"/>
    <n v="228"/>
    <n v="0"/>
    <n v="53004"/>
    <n v="279"/>
    <n v="0"/>
    <n v="0"/>
    <n v="0"/>
    <n v="47314"/>
    <n v="44896"/>
    <n v="11996"/>
    <n v="10665"/>
    <n v="829"/>
    <n v="611"/>
    <n v="34468"/>
    <n v="21"/>
    <n v="0"/>
    <n v="33605"/>
    <n v="15"/>
    <n v="0"/>
    <n v="0"/>
    <n v="0"/>
  </r>
  <r>
    <x v="4"/>
    <s v="Albany State University "/>
    <m/>
    <s v="138716"/>
    <x v="3"/>
    <n v="154129.5"/>
    <n v="150811"/>
    <n v="100600.5"/>
    <n v="102610"/>
    <n v="3528"/>
    <n v="2725"/>
    <n v="49742"/>
    <n v="89"/>
    <n v="170"/>
    <n v="45344"/>
    <n v="1"/>
    <n v="131"/>
    <n v="0"/>
    <n v="0"/>
    <n v="6675"/>
    <n v="6177"/>
    <n v="3770"/>
    <n v="2581"/>
    <n v="462"/>
    <n v="180"/>
    <n v="2443"/>
    <n v="0"/>
    <n v="0"/>
    <n v="3416"/>
    <n v="0"/>
    <n v="0"/>
    <n v="0"/>
    <n v="0"/>
  </r>
  <r>
    <x v="4"/>
    <s v="Armstrong State University"/>
    <s v="*Delete after 2017-18; Institution was consolidated into Georgia Southern University"/>
    <s v="138789"/>
    <x v="3"/>
    <n v="162144"/>
    <n v="0"/>
    <n v="128807"/>
    <m/>
    <n v="7517"/>
    <m/>
    <n v="25820"/>
    <n v="0"/>
    <n v="0"/>
    <m/>
    <m/>
    <m/>
    <n v="0"/>
    <m/>
    <n v="15703"/>
    <n v="0"/>
    <n v="12010"/>
    <m/>
    <n v="0"/>
    <m/>
    <n v="3693"/>
    <n v="0"/>
    <n v="0"/>
    <m/>
    <m/>
    <m/>
    <n v="0"/>
    <m/>
  </r>
  <r>
    <x v="4"/>
    <s v="Augusta University"/>
    <m/>
    <s v="482149"/>
    <x v="3"/>
    <n v="142097"/>
    <n v="146254"/>
    <n v="121141"/>
    <n v="123576"/>
    <n v="2889"/>
    <n v="2041"/>
    <n v="18067"/>
    <n v="0"/>
    <n v="0"/>
    <n v="20580"/>
    <n v="0"/>
    <n v="57"/>
    <n v="0"/>
    <n v="0"/>
    <n v="190576"/>
    <n v="196894"/>
    <n v="166283"/>
    <n v="172323"/>
    <n v="15075"/>
    <n v="13170"/>
    <n v="9218"/>
    <n v="0"/>
    <n v="0"/>
    <n v="11401"/>
    <n v="0"/>
    <n v="0"/>
    <n v="0"/>
    <n v="0"/>
  </r>
  <r>
    <x v="4"/>
    <s v="Clayton State University"/>
    <m/>
    <s v="139311"/>
    <x v="3"/>
    <n v="155672"/>
    <n v="161028"/>
    <n v="105092"/>
    <n v="102775"/>
    <n v="3064"/>
    <n v="2764"/>
    <n v="47516"/>
    <n v="0"/>
    <n v="0"/>
    <n v="55489"/>
    <n v="0"/>
    <n v="0"/>
    <n v="0"/>
    <n v="0"/>
    <n v="7862"/>
    <n v="7481"/>
    <n v="5313"/>
    <n v="4691"/>
    <n v="471"/>
    <n v="264"/>
    <n v="2078"/>
    <n v="0"/>
    <n v="0"/>
    <n v="2526"/>
    <n v="0"/>
    <n v="0"/>
    <n v="0"/>
    <n v="0"/>
  </r>
  <r>
    <x v="4"/>
    <s v="Columbus State University"/>
    <s v="Met the criteria for Four-Year 3 in 2018-19."/>
    <s v="139366"/>
    <x v="3"/>
    <n v="172675"/>
    <n v="172063"/>
    <n v="131445"/>
    <n v="128790"/>
    <n v="6378"/>
    <n v="5866"/>
    <n v="34693"/>
    <n v="159"/>
    <n v="0"/>
    <n v="37288"/>
    <n v="119"/>
    <n v="0"/>
    <n v="0"/>
    <n v="0"/>
    <n v="30921"/>
    <n v="26828"/>
    <n v="10113"/>
    <n v="10147"/>
    <n v="1639"/>
    <n v="704"/>
    <n v="19169"/>
    <n v="0"/>
    <n v="0"/>
    <n v="15977"/>
    <n v="0"/>
    <n v="0"/>
    <n v="0"/>
    <n v="0"/>
  </r>
  <r>
    <x v="4"/>
    <s v="Fort Valley State University"/>
    <s v="Met the criteria for Four-Year 5 in 2018-19."/>
    <s v="139719"/>
    <x v="3"/>
    <n v="65044"/>
    <n v="69971"/>
    <n v="54073"/>
    <n v="56852"/>
    <n v="54"/>
    <n v="135"/>
    <n v="10038"/>
    <n v="0"/>
    <n v="879"/>
    <n v="11880"/>
    <n v="0"/>
    <n v="1104"/>
    <n v="0"/>
    <n v="0"/>
    <n v="6801"/>
    <n v="6865"/>
    <n v="5456"/>
    <n v="5813"/>
    <n v="0"/>
    <n v="0"/>
    <n v="1306"/>
    <n v="0"/>
    <n v="39"/>
    <n v="992"/>
    <n v="0"/>
    <n v="60"/>
    <n v="0"/>
    <n v="0"/>
  </r>
  <r>
    <x v="4"/>
    <s v="Georgia College and State University"/>
    <m/>
    <s v="139861"/>
    <x v="3"/>
    <n v="178258.5"/>
    <n v="177821.5"/>
    <n v="162182"/>
    <n v="159725.5"/>
    <n v="1870.5"/>
    <n v="2739"/>
    <n v="14206"/>
    <n v="0"/>
    <n v="0"/>
    <n v="15357"/>
    <n v="0"/>
    <n v="0"/>
    <n v="0"/>
    <n v="0"/>
    <n v="19642"/>
    <n v="20696.5"/>
    <n v="3996"/>
    <n v="3353.5"/>
    <n v="1226"/>
    <n v="574"/>
    <n v="14420"/>
    <n v="0"/>
    <n v="0"/>
    <n v="16769"/>
    <n v="0"/>
    <n v="0"/>
    <n v="0"/>
    <n v="0"/>
  </r>
  <r>
    <x v="4"/>
    <s v="Georgia Southwestern State University"/>
    <m/>
    <s v="139764"/>
    <x v="3"/>
    <n v="65656"/>
    <n v="64680"/>
    <n v="43905"/>
    <n v="41870"/>
    <n v="1454"/>
    <n v="1750"/>
    <n v="20297"/>
    <n v="0"/>
    <n v="0"/>
    <n v="21060"/>
    <n v="0"/>
    <n v="0"/>
    <n v="0"/>
    <n v="0"/>
    <n v="10210"/>
    <n v="10339"/>
    <n v="4055"/>
    <n v="4405"/>
    <n v="0"/>
    <n v="714"/>
    <n v="6155"/>
    <n v="0"/>
    <n v="0"/>
    <n v="5220"/>
    <n v="0"/>
    <n v="0"/>
    <n v="0"/>
    <n v="0"/>
  </r>
  <r>
    <x v="4"/>
    <s v="University of North Georgia"/>
    <m/>
    <n v="482680"/>
    <x v="3"/>
    <n v="443780"/>
    <n v="458686"/>
    <n v="390533"/>
    <n v="393591"/>
    <n v="3986"/>
    <n v="5524"/>
    <n v="49261"/>
    <n v="0"/>
    <n v="0"/>
    <n v="59571"/>
    <n v="0"/>
    <n v="0"/>
    <n v="0"/>
    <n v="0"/>
    <n v="12091"/>
    <n v="14308"/>
    <n v="7143"/>
    <n v="8495"/>
    <n v="1095"/>
    <n v="1133"/>
    <n v="3853"/>
    <n v="0"/>
    <n v="0"/>
    <n v="4680"/>
    <n v="0"/>
    <n v="0"/>
    <n v="0"/>
    <n v="0"/>
  </r>
  <r>
    <x v="4"/>
    <s v="Savannah State University"/>
    <m/>
    <s v="140960"/>
    <x v="4"/>
    <n v="123043"/>
    <n v="117463"/>
    <n v="111139"/>
    <n v="100202"/>
    <n v="596"/>
    <n v="273"/>
    <n v="11308"/>
    <n v="0"/>
    <n v="0"/>
    <n v="16988"/>
    <n v="0"/>
    <n v="0"/>
    <n v="0"/>
    <n v="0"/>
    <n v="4030"/>
    <n v="3734"/>
    <n v="1930"/>
    <n v="1577"/>
    <n v="1200"/>
    <n v="1320"/>
    <n v="900"/>
    <n v="0"/>
    <n v="0"/>
    <n v="837"/>
    <n v="0"/>
    <n v="0"/>
    <n v="0"/>
    <n v="0"/>
  </r>
  <r>
    <x v="4"/>
    <s v="College of Coastal Georgia "/>
    <m/>
    <s v="139250"/>
    <x v="5"/>
    <n v="84607"/>
    <n v="83776"/>
    <n v="65858"/>
    <n v="60799"/>
    <n v="959"/>
    <n v="464"/>
    <n v="17790"/>
    <n v="0"/>
    <n v="0"/>
    <n v="22513"/>
    <n v="0"/>
    <n v="0"/>
    <n v="0"/>
    <n v="0"/>
    <n v="0"/>
    <n v="0"/>
    <m/>
    <m/>
    <m/>
    <m/>
    <m/>
    <m/>
    <m/>
    <m/>
    <m/>
    <m/>
    <m/>
    <m/>
  </r>
  <r>
    <x v="4"/>
    <s v="Dalton State College "/>
    <m/>
    <s v="139463"/>
    <x v="5"/>
    <n v="120102"/>
    <n v="121843"/>
    <n v="103988"/>
    <n v="99398"/>
    <n v="4716"/>
    <n v="6619"/>
    <n v="11398"/>
    <n v="0"/>
    <n v="0"/>
    <n v="15826"/>
    <n v="0"/>
    <n v="0"/>
    <n v="0"/>
    <n v="0"/>
    <n v="0"/>
    <n v="0"/>
    <m/>
    <m/>
    <m/>
    <m/>
    <m/>
    <m/>
    <m/>
    <m/>
    <m/>
    <m/>
    <m/>
    <m/>
  </r>
  <r>
    <x v="4"/>
    <s v="Georgia Gwinnett College"/>
    <m/>
    <s v="447689"/>
    <x v="5"/>
    <n v="297820"/>
    <n v="306863"/>
    <n v="292570"/>
    <n v="299433"/>
    <n v="165"/>
    <n v="209"/>
    <n v="5085"/>
    <n v="0"/>
    <n v="0"/>
    <n v="7221"/>
    <n v="0"/>
    <n v="0"/>
    <n v="0"/>
    <n v="0"/>
    <n v="0"/>
    <n v="0"/>
    <m/>
    <m/>
    <m/>
    <m/>
    <m/>
    <m/>
    <m/>
    <m/>
    <m/>
    <m/>
    <m/>
    <m/>
  </r>
  <r>
    <x v="4"/>
    <s v="Middle Georgia State College"/>
    <s v="Met the criteria for Four-Year 5 in 2018-19."/>
    <n v="482158"/>
    <x v="5"/>
    <n v="174380"/>
    <n v="180637"/>
    <n v="113621"/>
    <n v="110070"/>
    <n v="1410"/>
    <n v="1324"/>
    <n v="56883"/>
    <n v="2466"/>
    <n v="0"/>
    <n v="67916"/>
    <n v="1327"/>
    <n v="0"/>
    <n v="0"/>
    <n v="0"/>
    <n v="1871"/>
    <n v="3639"/>
    <n v="108"/>
    <n v="345"/>
    <n v="0"/>
    <n v="84"/>
    <n v="1763"/>
    <n v="0"/>
    <n v="0"/>
    <n v="3210"/>
    <n v="0"/>
    <n v="0"/>
    <n v="0"/>
    <n v="0"/>
  </r>
  <r>
    <x v="4"/>
    <s v="Abraham Baldwin Agricultural College "/>
    <s v="Met the criteria for Four-Year 6 in 2017-18 and 2018-19. "/>
    <s v="138558"/>
    <x v="13"/>
    <n v="84988"/>
    <n v="111796"/>
    <n v="78877"/>
    <n v="89100"/>
    <n v="2857"/>
    <n v="6909"/>
    <n v="3254"/>
    <n v="0"/>
    <n v="0"/>
    <n v="15787"/>
    <n v="0"/>
    <n v="0"/>
    <n v="0"/>
    <n v="0"/>
    <n v="0"/>
    <n v="0"/>
    <m/>
    <m/>
    <m/>
    <m/>
    <m/>
    <m/>
    <m/>
    <m/>
    <m/>
    <m/>
    <m/>
    <m/>
  </r>
  <r>
    <x v="4"/>
    <s v="Atlanta Metropolitan State College"/>
    <m/>
    <s v="138901"/>
    <x v="13"/>
    <n v="58398"/>
    <n v="51417"/>
    <n v="42881"/>
    <n v="36668"/>
    <n v="306"/>
    <n v="1352"/>
    <n v="15211"/>
    <n v="0"/>
    <n v="0"/>
    <n v="13397"/>
    <n v="0"/>
    <n v="0"/>
    <n v="0"/>
    <n v="0"/>
    <n v="0"/>
    <n v="0"/>
    <m/>
    <m/>
    <m/>
    <m/>
    <m/>
    <m/>
    <m/>
    <m/>
    <m/>
    <m/>
    <m/>
    <m/>
  </r>
  <r>
    <x v="4"/>
    <s v="Darton State College "/>
    <s v="*Delete after 2017-18; Institution was consolidated into Albany State College. Met the criteria for Two-Year 3 in 2017-18 and 2018-19 "/>
    <s v="138691"/>
    <x v="13"/>
    <n v="0"/>
    <n v="0"/>
    <m/>
    <m/>
    <m/>
    <m/>
    <m/>
    <m/>
    <m/>
    <m/>
    <m/>
    <m/>
    <m/>
    <m/>
    <n v="0"/>
    <n v="0"/>
    <m/>
    <m/>
    <m/>
    <m/>
    <m/>
    <m/>
    <m/>
    <m/>
    <m/>
    <m/>
    <m/>
    <m/>
  </r>
  <r>
    <x v="4"/>
    <s v="East Georgia State College"/>
    <m/>
    <s v="139621"/>
    <x v="13"/>
    <n v="70657"/>
    <n v="68856"/>
    <n v="40891"/>
    <n v="35717"/>
    <n v="13031"/>
    <n v="12088"/>
    <n v="10481"/>
    <n v="0"/>
    <n v="6254"/>
    <n v="21051"/>
    <n v="0"/>
    <n v="0"/>
    <n v="0"/>
    <n v="0"/>
    <n v="0"/>
    <n v="0"/>
    <m/>
    <m/>
    <m/>
    <m/>
    <m/>
    <m/>
    <m/>
    <m/>
    <m/>
    <m/>
    <m/>
    <m/>
  </r>
  <r>
    <x v="4"/>
    <s v="Georgia Highlands College"/>
    <m/>
    <s v="139700"/>
    <x v="13"/>
    <n v="130593"/>
    <n v="134665"/>
    <n v="77877"/>
    <n v="77725"/>
    <n v="20578"/>
    <n v="19951"/>
    <n v="32138"/>
    <n v="0"/>
    <n v="0"/>
    <n v="36989"/>
    <n v="0"/>
    <n v="0"/>
    <n v="0"/>
    <n v="0"/>
    <n v="0"/>
    <n v="0"/>
    <m/>
    <m/>
    <m/>
    <m/>
    <m/>
    <m/>
    <m/>
    <m/>
    <m/>
    <m/>
    <m/>
    <m/>
  </r>
  <r>
    <x v="4"/>
    <s v="Gordon State College "/>
    <s v="Met the criteria for Four-Year 6 in 2017-18 and 2018-19. "/>
    <s v="139968"/>
    <x v="13"/>
    <n v="91272"/>
    <n v="89080"/>
    <n v="68474"/>
    <n v="65209"/>
    <n v="5759"/>
    <n v="6718"/>
    <n v="17039"/>
    <n v="0"/>
    <n v="0"/>
    <n v="17153"/>
    <n v="0"/>
    <n v="0"/>
    <n v="0"/>
    <n v="0"/>
    <n v="0"/>
    <n v="0"/>
    <m/>
    <m/>
    <m/>
    <m/>
    <m/>
    <m/>
    <m/>
    <m/>
    <m/>
    <m/>
    <m/>
    <m/>
  </r>
  <r>
    <x v="4"/>
    <s v="South Georgia State College"/>
    <m/>
    <n v="482699"/>
    <x v="13"/>
    <n v="62094"/>
    <n v="61747"/>
    <n v="24171"/>
    <n v="21466"/>
    <n v="26275"/>
    <n v="23010"/>
    <n v="11648"/>
    <m/>
    <m/>
    <n v="17271"/>
    <n v="0"/>
    <n v="0"/>
    <m/>
    <n v="0"/>
    <n v="0"/>
    <n v="0"/>
    <m/>
    <m/>
    <m/>
    <m/>
    <m/>
    <m/>
    <m/>
    <m/>
    <m/>
    <m/>
    <m/>
    <m/>
  </r>
  <r>
    <x v="4"/>
    <s v="Georgia Perimeter College "/>
    <s v="*Delete after 2016-17; Institution was consolidated into Georgia State University. Met the criteria for Two-Year 3 in 2017-18 and 2018-19."/>
    <s v="244437"/>
    <x v="6"/>
    <n v="0"/>
    <n v="0"/>
    <m/>
    <m/>
    <m/>
    <m/>
    <m/>
    <n v="0"/>
    <n v="0"/>
    <m/>
    <m/>
    <m/>
    <n v="0"/>
    <m/>
    <n v="0"/>
    <n v="0"/>
    <m/>
    <m/>
    <m/>
    <m/>
    <m/>
    <m/>
    <m/>
    <m/>
    <m/>
    <m/>
    <m/>
    <m/>
  </r>
  <r>
    <x v="4"/>
    <s v="Bainbridge State College "/>
    <s v="*Delete after 2017-18; Institution was consolidated into Abraham Baldwin Agricultural College. Met the criteria for Two-Year with Bachelor's in 2017-18 amd 2018-19."/>
    <s v="139010"/>
    <x v="8"/>
    <n v="41554"/>
    <n v="0"/>
    <n v="19634"/>
    <m/>
    <n v="6993"/>
    <m/>
    <n v="14927"/>
    <n v="0"/>
    <n v="0"/>
    <m/>
    <m/>
    <m/>
    <n v="0"/>
    <m/>
    <n v="0"/>
    <n v="0"/>
    <m/>
    <m/>
    <m/>
    <m/>
    <m/>
    <m/>
    <m/>
    <m/>
    <m/>
    <m/>
    <m/>
    <m/>
  </r>
  <r>
    <x v="4"/>
    <s v="Albany Technical College"/>
    <m/>
    <n v="138682"/>
    <x v="9"/>
    <n v="78571"/>
    <n v="76970"/>
    <n v="40773"/>
    <n v="35710"/>
    <m/>
    <m/>
    <n v="37798"/>
    <n v="0"/>
    <m/>
    <n v="41260"/>
    <n v="0"/>
    <n v="0"/>
    <m/>
    <m/>
    <n v="0"/>
    <n v="0"/>
    <m/>
    <m/>
    <m/>
    <m/>
    <m/>
    <m/>
    <m/>
    <m/>
    <m/>
    <m/>
    <m/>
    <m/>
  </r>
  <r>
    <x v="4"/>
    <s v="Athens Technical College"/>
    <m/>
    <n v="246813"/>
    <x v="9"/>
    <n v="82773"/>
    <n v="86137"/>
    <n v="66000"/>
    <n v="66447"/>
    <m/>
    <m/>
    <n v="16741"/>
    <n v="32"/>
    <m/>
    <n v="19430"/>
    <n v="260"/>
    <n v="0"/>
    <m/>
    <m/>
    <n v="0"/>
    <n v="0"/>
    <m/>
    <m/>
    <m/>
    <m/>
    <m/>
    <m/>
    <m/>
    <m/>
    <m/>
    <m/>
    <m/>
    <m/>
  </r>
  <r>
    <x v="4"/>
    <s v="Atlanta Technical College"/>
    <m/>
    <n v="138840"/>
    <x v="9"/>
    <n v="96224"/>
    <n v="86559"/>
    <n v="56558"/>
    <n v="49899"/>
    <m/>
    <m/>
    <n v="39666"/>
    <n v="0"/>
    <m/>
    <n v="36660"/>
    <n v="0"/>
    <n v="0"/>
    <m/>
    <m/>
    <n v="0"/>
    <n v="0"/>
    <m/>
    <m/>
    <m/>
    <m/>
    <m/>
    <m/>
    <m/>
    <m/>
    <m/>
    <m/>
    <m/>
    <m/>
  </r>
  <r>
    <x v="4"/>
    <s v="Augusta Technical College"/>
    <m/>
    <n v="138956"/>
    <x v="9"/>
    <n v="97659"/>
    <n v="100487"/>
    <n v="87518"/>
    <n v="89916"/>
    <m/>
    <m/>
    <n v="10141"/>
    <n v="0"/>
    <m/>
    <n v="10571"/>
    <n v="0"/>
    <n v="0"/>
    <m/>
    <m/>
    <n v="0"/>
    <n v="0"/>
    <m/>
    <m/>
    <m/>
    <m/>
    <m/>
    <m/>
    <m/>
    <m/>
    <m/>
    <m/>
    <m/>
    <m/>
  </r>
  <r>
    <x v="4"/>
    <s v="Central Georgia Technical College"/>
    <m/>
    <n v="483045"/>
    <x v="9"/>
    <n v="164946"/>
    <n v="170017"/>
    <n v="93921"/>
    <n v="92543"/>
    <m/>
    <m/>
    <n v="59674"/>
    <n v="11351"/>
    <m/>
    <n v="66388"/>
    <n v="11086"/>
    <n v="0"/>
    <m/>
    <m/>
    <n v="0"/>
    <n v="0"/>
    <m/>
    <m/>
    <m/>
    <m/>
    <m/>
    <m/>
    <m/>
    <m/>
    <m/>
    <m/>
    <m/>
    <m/>
  </r>
  <r>
    <x v="4"/>
    <s v="Chattahoochee Technical College"/>
    <m/>
    <n v="140331"/>
    <x v="9"/>
    <n v="192262"/>
    <n v="194492"/>
    <n v="94642"/>
    <n v="98217"/>
    <m/>
    <m/>
    <n v="97620"/>
    <n v="0"/>
    <m/>
    <n v="96275"/>
    <n v="0"/>
    <n v="0"/>
    <m/>
    <m/>
    <n v="0"/>
    <n v="0"/>
    <m/>
    <m/>
    <m/>
    <m/>
    <m/>
    <m/>
    <m/>
    <m/>
    <m/>
    <m/>
    <m/>
    <m/>
  </r>
  <r>
    <x v="4"/>
    <s v="Coastal Pines Technical College"/>
    <m/>
    <n v="485458"/>
    <x v="9"/>
    <n v="55795"/>
    <n v="60866"/>
    <n v="44527"/>
    <n v="48116"/>
    <m/>
    <m/>
    <n v="11268"/>
    <n v="0"/>
    <m/>
    <n v="12750"/>
    <n v="0"/>
    <n v="0"/>
    <m/>
    <m/>
    <n v="0"/>
    <n v="0"/>
    <m/>
    <m/>
    <m/>
    <m/>
    <m/>
    <m/>
    <m/>
    <m/>
    <m/>
    <m/>
    <m/>
    <m/>
  </r>
  <r>
    <x v="4"/>
    <s v="Columbus Technical College"/>
    <m/>
    <n v="139357"/>
    <x v="9"/>
    <n v="66237.600000000006"/>
    <n v="70252.399999999994"/>
    <n v="45247.6"/>
    <n v="45287.3"/>
    <m/>
    <m/>
    <n v="20990"/>
    <n v="0"/>
    <m/>
    <n v="24965.1"/>
    <n v="0"/>
    <n v="0"/>
    <m/>
    <m/>
    <n v="0"/>
    <n v="0"/>
    <m/>
    <m/>
    <m/>
    <m/>
    <m/>
    <m/>
    <m/>
    <m/>
    <m/>
    <m/>
    <m/>
    <m/>
  </r>
  <r>
    <x v="4"/>
    <s v="Georgia Northwestern Technical College"/>
    <m/>
    <n v="139384"/>
    <x v="9"/>
    <n v="110511"/>
    <n v="111820"/>
    <n v="70215"/>
    <n v="65466"/>
    <m/>
    <m/>
    <n v="40296"/>
    <n v="0"/>
    <m/>
    <n v="46354"/>
    <n v="0"/>
    <n v="0"/>
    <m/>
    <m/>
    <n v="0"/>
    <n v="0"/>
    <m/>
    <m/>
    <m/>
    <m/>
    <m/>
    <m/>
    <m/>
    <m/>
    <m/>
    <m/>
    <m/>
    <m/>
  </r>
  <r>
    <x v="4"/>
    <s v="Georgia Piedmont Technical College"/>
    <m/>
    <n v="244446"/>
    <x v="9"/>
    <n v="90588.5"/>
    <n v="79406"/>
    <n v="46191.5"/>
    <n v="22955"/>
    <m/>
    <m/>
    <n v="44397"/>
    <n v="0"/>
    <m/>
    <n v="56451"/>
    <n v="0"/>
    <n v="0"/>
    <m/>
    <m/>
    <n v="0"/>
    <n v="0"/>
    <m/>
    <m/>
    <m/>
    <m/>
    <m/>
    <m/>
    <m/>
    <m/>
    <m/>
    <m/>
    <m/>
    <m/>
  </r>
  <r>
    <x v="4"/>
    <s v="Gwinnett Technical College"/>
    <m/>
    <n v="140012"/>
    <x v="9"/>
    <n v="155430"/>
    <n v="167248"/>
    <n v="94385"/>
    <n v="97710"/>
    <m/>
    <m/>
    <n v="61045"/>
    <n v="0"/>
    <m/>
    <n v="69538"/>
    <n v="0"/>
    <n v="0"/>
    <m/>
    <m/>
    <n v="0"/>
    <n v="0"/>
    <m/>
    <m/>
    <m/>
    <m/>
    <m/>
    <m/>
    <m/>
    <m/>
    <m/>
    <m/>
    <m/>
    <m/>
  </r>
  <r>
    <x v="4"/>
    <s v="Lanier Technical College"/>
    <m/>
    <n v="140243"/>
    <x v="9"/>
    <n v="73379"/>
    <n v="74738"/>
    <n v="50007"/>
    <n v="54752"/>
    <m/>
    <m/>
    <n v="23372"/>
    <n v="0"/>
    <m/>
    <n v="19986"/>
    <n v="0"/>
    <n v="0"/>
    <m/>
    <m/>
    <n v="0"/>
    <n v="0"/>
    <m/>
    <m/>
    <m/>
    <m/>
    <m/>
    <m/>
    <m/>
    <m/>
    <m/>
    <m/>
    <m/>
    <m/>
  </r>
  <r>
    <x v="4"/>
    <s v="North Georgia Technical College"/>
    <m/>
    <n v="140678"/>
    <x v="9"/>
    <n v="57264"/>
    <n v="53903"/>
    <n v="39851"/>
    <n v="35839"/>
    <m/>
    <m/>
    <n v="17413"/>
    <n v="0"/>
    <m/>
    <n v="18064"/>
    <n v="0"/>
    <n v="0"/>
    <m/>
    <m/>
    <n v="0"/>
    <n v="0"/>
    <m/>
    <m/>
    <m/>
    <m/>
    <m/>
    <m/>
    <m/>
    <m/>
    <m/>
    <m/>
    <m/>
    <m/>
  </r>
  <r>
    <x v="4"/>
    <s v="Oconee Fall Line Technical College"/>
    <s v="Met the criteria for Technical Institute or College 2 in 2017-18 and 2018-19. "/>
    <n v="420431"/>
    <x v="9"/>
    <n v="29021"/>
    <n v="29632"/>
    <n v="19862"/>
    <n v="19940"/>
    <m/>
    <m/>
    <n v="9159"/>
    <n v="0"/>
    <m/>
    <n v="9692"/>
    <n v="0"/>
    <n v="0"/>
    <m/>
    <m/>
    <n v="0"/>
    <n v="0"/>
    <m/>
    <m/>
    <m/>
    <m/>
    <m/>
    <m/>
    <m/>
    <m/>
    <m/>
    <m/>
    <m/>
    <m/>
  </r>
  <r>
    <x v="4"/>
    <s v="Ogeechee Technical College"/>
    <m/>
    <n v="366465"/>
    <x v="9"/>
    <n v="47175"/>
    <n v="47084"/>
    <n v="32775"/>
    <n v="30753"/>
    <m/>
    <m/>
    <n v="14400"/>
    <n v="0"/>
    <m/>
    <n v="16331"/>
    <n v="0"/>
    <n v="0"/>
    <m/>
    <m/>
    <n v="0"/>
    <n v="0"/>
    <m/>
    <m/>
    <m/>
    <m/>
    <m/>
    <m/>
    <m/>
    <m/>
    <m/>
    <m/>
    <m/>
    <m/>
  </r>
  <r>
    <x v="4"/>
    <s v="Savannah Technical College"/>
    <m/>
    <n v="140942"/>
    <x v="9"/>
    <n v="87865"/>
    <n v="86869"/>
    <n v="64030"/>
    <n v="61865"/>
    <m/>
    <m/>
    <n v="23835"/>
    <n v="0"/>
    <m/>
    <n v="25004"/>
    <n v="0"/>
    <n v="0"/>
    <m/>
    <m/>
    <n v="0"/>
    <n v="0"/>
    <m/>
    <m/>
    <m/>
    <m/>
    <m/>
    <m/>
    <m/>
    <m/>
    <m/>
    <m/>
    <m/>
    <m/>
  </r>
  <r>
    <x v="4"/>
    <s v="South Georgia Technical College"/>
    <m/>
    <n v="141006"/>
    <x v="9"/>
    <n v="45742"/>
    <n v="49872"/>
    <n v="39296"/>
    <n v="39027"/>
    <m/>
    <m/>
    <n v="6446"/>
    <n v="0"/>
    <m/>
    <n v="10845"/>
    <n v="0"/>
    <n v="0"/>
    <m/>
    <m/>
    <n v="0"/>
    <n v="0"/>
    <m/>
    <m/>
    <m/>
    <m/>
    <m/>
    <m/>
    <m/>
    <m/>
    <m/>
    <m/>
    <m/>
    <m/>
  </r>
  <r>
    <x v="4"/>
    <s v="Southeastern Technical College"/>
    <m/>
    <n v="368911"/>
    <x v="9"/>
    <n v="34581"/>
    <n v="34406"/>
    <n v="26693"/>
    <n v="25482"/>
    <m/>
    <m/>
    <n v="7888"/>
    <n v="0"/>
    <m/>
    <n v="8924"/>
    <n v="0"/>
    <n v="0"/>
    <m/>
    <m/>
    <n v="0"/>
    <n v="0"/>
    <m/>
    <m/>
    <m/>
    <m/>
    <m/>
    <m/>
    <m/>
    <m/>
    <m/>
    <m/>
    <m/>
    <m/>
  </r>
  <r>
    <x v="4"/>
    <s v="Southern Crescent Technical College"/>
    <m/>
    <n v="139986"/>
    <x v="9"/>
    <n v="94521"/>
    <n v="99878"/>
    <n v="64940"/>
    <n v="64903"/>
    <m/>
    <m/>
    <n v="29581"/>
    <n v="0"/>
    <m/>
    <n v="34975"/>
    <n v="0"/>
    <n v="0"/>
    <m/>
    <m/>
    <n v="0"/>
    <n v="0"/>
    <m/>
    <m/>
    <m/>
    <m/>
    <m/>
    <m/>
    <m/>
    <m/>
    <m/>
    <m/>
    <m/>
    <m/>
  </r>
  <r>
    <x v="4"/>
    <s v="Southern Regional Technical College"/>
    <m/>
    <n v="487162"/>
    <x v="9"/>
    <n v="79454"/>
    <n v="89137"/>
    <n v="57782"/>
    <n v="62207"/>
    <m/>
    <m/>
    <n v="21672"/>
    <n v="0"/>
    <m/>
    <n v="26930"/>
    <n v="0"/>
    <n v="0"/>
    <m/>
    <m/>
    <n v="0"/>
    <n v="0"/>
    <m/>
    <m/>
    <m/>
    <m/>
    <m/>
    <m/>
    <m/>
    <m/>
    <m/>
    <m/>
    <m/>
    <m/>
  </r>
  <r>
    <x v="4"/>
    <s v="West Georgia Technical College"/>
    <m/>
    <n v="139278"/>
    <x v="9"/>
    <n v="133485"/>
    <n v="132699"/>
    <n v="91035"/>
    <n v="87329"/>
    <m/>
    <m/>
    <n v="42450"/>
    <n v="0"/>
    <m/>
    <n v="45370"/>
    <n v="0"/>
    <n v="0"/>
    <m/>
    <m/>
    <n v="0"/>
    <n v="0"/>
    <m/>
    <m/>
    <m/>
    <m/>
    <m/>
    <m/>
    <m/>
    <m/>
    <m/>
    <m/>
    <m/>
    <m/>
  </r>
  <r>
    <x v="4"/>
    <s v="Wiregrass Georgia Technical College"/>
    <m/>
    <n v="141255"/>
    <x v="9"/>
    <n v="76205"/>
    <n v="81638"/>
    <n v="62118"/>
    <n v="64689"/>
    <m/>
    <m/>
    <n v="14087"/>
    <n v="0"/>
    <m/>
    <n v="16949"/>
    <n v="0"/>
    <n v="0"/>
    <m/>
    <m/>
    <n v="0"/>
    <n v="0"/>
    <m/>
    <m/>
    <m/>
    <m/>
    <m/>
    <m/>
    <m/>
    <m/>
    <m/>
    <m/>
    <m/>
    <m/>
  </r>
  <r>
    <x v="5"/>
    <s v="University of Kentucky"/>
    <m/>
    <n v="157085"/>
    <x v="0"/>
    <n v="679007"/>
    <n v="666352"/>
    <n v="618621"/>
    <n v="596292"/>
    <n v="6688"/>
    <n v="8946"/>
    <n v="52263"/>
    <n v="180"/>
    <n v="1255"/>
    <n v="59383"/>
    <n v="540"/>
    <n v="1191"/>
    <m/>
    <m/>
    <n v="83737"/>
    <n v="83665"/>
    <n v="65706"/>
    <n v="63060"/>
    <n v="377"/>
    <n v="309"/>
    <n v="17360"/>
    <m/>
    <n v="294"/>
    <n v="20013"/>
    <m/>
    <n v="283"/>
    <m/>
    <m/>
  </r>
  <r>
    <x v="5"/>
    <s v="University of Louisville"/>
    <m/>
    <n v="157289"/>
    <x v="0"/>
    <n v="399252"/>
    <n v="391462"/>
    <n v="338779"/>
    <n v="324563"/>
    <n v="13123"/>
    <n v="13150"/>
    <n v="47350"/>
    <m/>
    <m/>
    <n v="53749"/>
    <m/>
    <m/>
    <m/>
    <m/>
    <n v="77483"/>
    <n v="80351"/>
    <n v="54360"/>
    <n v="55586"/>
    <n v="6396"/>
    <n v="6232"/>
    <n v="16727"/>
    <m/>
    <m/>
    <n v="18533"/>
    <m/>
    <m/>
    <m/>
    <m/>
  </r>
  <r>
    <x v="5"/>
    <s v="Eastern Kentucky University "/>
    <m/>
    <n v="156620"/>
    <x v="2"/>
    <n v="392352"/>
    <n v="383583"/>
    <n v="300699"/>
    <n v="288192"/>
    <n v="14241"/>
    <n v="14604"/>
    <n v="68592"/>
    <n v="8290"/>
    <n v="530"/>
    <n v="75149"/>
    <n v="5638"/>
    <m/>
    <m/>
    <m/>
    <n v="43235"/>
    <n v="42769"/>
    <n v="15586"/>
    <n v="15258"/>
    <n v="880"/>
    <n v="999"/>
    <n v="26323"/>
    <n v="90"/>
    <n v="356"/>
    <n v="26509"/>
    <n v="3"/>
    <m/>
    <m/>
    <m/>
  </r>
  <r>
    <x v="5"/>
    <s v="Morehead State University "/>
    <m/>
    <n v="157386"/>
    <x v="2"/>
    <n v="204679"/>
    <n v="201307"/>
    <n v="121009"/>
    <n v="118899"/>
    <n v="29264"/>
    <n v="28204"/>
    <n v="50257"/>
    <n v="4149"/>
    <m/>
    <n v="49322"/>
    <n v="4882"/>
    <m/>
    <m/>
    <m/>
    <n v="13946"/>
    <n v="13424"/>
    <n v="1647"/>
    <n v="1538"/>
    <n v="901"/>
    <n v="573"/>
    <n v="11266"/>
    <n v="132"/>
    <m/>
    <n v="10883"/>
    <n v="430"/>
    <m/>
    <m/>
    <m/>
  </r>
  <r>
    <x v="5"/>
    <s v="Murray State University "/>
    <m/>
    <n v="157401"/>
    <x v="2"/>
    <n v="222238"/>
    <n v="212115"/>
    <n v="180036"/>
    <n v="166732"/>
    <n v="10039"/>
    <n v="9655"/>
    <n v="24470"/>
    <n v="7693"/>
    <m/>
    <n v="28786"/>
    <n v="6942"/>
    <m/>
    <m/>
    <m/>
    <n v="22040"/>
    <n v="20151"/>
    <n v="10655"/>
    <n v="9236"/>
    <n v="1325"/>
    <n v="1879"/>
    <n v="9673"/>
    <n v="387"/>
    <m/>
    <n v="8670"/>
    <n v="366"/>
    <m/>
    <m/>
    <m/>
  </r>
  <r>
    <x v="5"/>
    <s v="Northern Kentucky University "/>
    <m/>
    <n v="157447"/>
    <x v="2"/>
    <n v="346325"/>
    <n v="334483"/>
    <n v="264139"/>
    <n v="243743"/>
    <n v="15109"/>
    <n v="15941"/>
    <n v="66861"/>
    <n v="216"/>
    <m/>
    <n v="74532"/>
    <n v="267"/>
    <m/>
    <m/>
    <m/>
    <n v="36073"/>
    <n v="40872"/>
    <n v="25156"/>
    <n v="25219"/>
    <n v="846"/>
    <n v="277"/>
    <n v="10071"/>
    <m/>
    <m/>
    <n v="15376"/>
    <m/>
    <m/>
    <m/>
    <m/>
  </r>
  <r>
    <x v="5"/>
    <s v="Western Kentucky University "/>
    <m/>
    <n v="157951"/>
    <x v="2"/>
    <n v="430776"/>
    <n v="419381"/>
    <n v="318133"/>
    <n v="302934"/>
    <n v="30579"/>
    <n v="27013"/>
    <n v="79330"/>
    <n v="2707"/>
    <n v="27"/>
    <n v="85774"/>
    <n v="3603"/>
    <n v="57"/>
    <m/>
    <m/>
    <n v="40507"/>
    <n v="37408"/>
    <n v="18586"/>
    <n v="14748"/>
    <n v="473"/>
    <n v="979"/>
    <n v="21333"/>
    <n v="115"/>
    <m/>
    <n v="21459"/>
    <n v="213"/>
    <n v="9"/>
    <m/>
    <m/>
  </r>
  <r>
    <x v="5"/>
    <s v="Kentucky State University "/>
    <m/>
    <n v="157058"/>
    <x v="3"/>
    <n v="44162"/>
    <n v="43504"/>
    <n v="30423"/>
    <n v="30501"/>
    <n v="213"/>
    <m/>
    <n v="13525"/>
    <n v="1"/>
    <m/>
    <n v="13002"/>
    <n v="1"/>
    <m/>
    <m/>
    <m/>
    <n v="2422"/>
    <n v="1885"/>
    <n v="1959"/>
    <n v="1495"/>
    <m/>
    <m/>
    <n v="463"/>
    <m/>
    <m/>
    <n v="390"/>
    <m/>
    <m/>
    <m/>
    <m/>
  </r>
  <r>
    <x v="5"/>
    <s v="Bluegrass Community and Technical College"/>
    <m/>
    <n v="157173"/>
    <x v="6"/>
    <n v="190639"/>
    <n v="189108"/>
    <n v="113143"/>
    <n v="108959"/>
    <n v="6643"/>
    <n v="6166"/>
    <n v="70853"/>
    <m/>
    <m/>
    <n v="73983"/>
    <m/>
    <m/>
    <m/>
    <m/>
    <n v="0"/>
    <n v="0"/>
    <s v="."/>
    <m/>
    <m/>
    <m/>
    <m/>
    <m/>
    <m/>
    <m/>
    <m/>
    <m/>
    <m/>
    <m/>
  </r>
  <r>
    <x v="5"/>
    <s v="Jefferson Community and Technical College "/>
    <m/>
    <n v="156921"/>
    <x v="6"/>
    <n v="193614"/>
    <n v="191032"/>
    <n v="125317"/>
    <n v="120251"/>
    <n v="10459"/>
    <n v="9999"/>
    <n v="57838"/>
    <m/>
    <m/>
    <n v="60782"/>
    <m/>
    <m/>
    <m/>
    <m/>
    <n v="0"/>
    <n v="0"/>
    <m/>
    <m/>
    <m/>
    <m/>
    <m/>
    <m/>
    <m/>
    <m/>
    <m/>
    <m/>
    <m/>
    <m/>
  </r>
  <r>
    <x v="5"/>
    <s v="Ashland Community and Technical College"/>
    <s v="Met the criteria for Two-Year 3 in 2017-18 and 2018-19."/>
    <n v="156231"/>
    <x v="7"/>
    <n v="58489"/>
    <n v="55450"/>
    <n v="32592"/>
    <n v="29745"/>
    <n v="2932"/>
    <n v="2825"/>
    <n v="22965"/>
    <m/>
    <m/>
    <n v="22880"/>
    <m/>
    <m/>
    <m/>
    <m/>
    <n v="0"/>
    <n v="0"/>
    <m/>
    <m/>
    <m/>
    <m/>
    <m/>
    <m/>
    <m/>
    <m/>
    <m/>
    <m/>
    <m/>
    <m/>
  </r>
  <r>
    <x v="5"/>
    <s v="Big Sandy Community and Technical College "/>
    <m/>
    <n v="157553"/>
    <x v="7"/>
    <n v="71899"/>
    <n v="65854"/>
    <n v="36659"/>
    <n v="29683"/>
    <n v="779"/>
    <n v="884"/>
    <n v="34461"/>
    <m/>
    <m/>
    <n v="35287"/>
    <m/>
    <m/>
    <m/>
    <m/>
    <n v="0"/>
    <n v="0"/>
    <m/>
    <m/>
    <m/>
    <m/>
    <m/>
    <m/>
    <m/>
    <m/>
    <m/>
    <m/>
    <m/>
    <m/>
  </r>
  <r>
    <x v="5"/>
    <s v="Elizabethtown Community and Technical College "/>
    <m/>
    <n v="156648"/>
    <x v="7"/>
    <n v="106331"/>
    <n v="107071"/>
    <n v="53764"/>
    <n v="51452"/>
    <n v="6739"/>
    <n v="5866"/>
    <n v="45828"/>
    <m/>
    <m/>
    <n v="49753"/>
    <m/>
    <m/>
    <m/>
    <m/>
    <n v="0"/>
    <n v="0"/>
    <m/>
    <m/>
    <m/>
    <m/>
    <m/>
    <m/>
    <m/>
    <m/>
    <m/>
    <m/>
    <m/>
    <m/>
  </r>
  <r>
    <x v="5"/>
    <s v="Maysville Community and Technical College "/>
    <m/>
    <n v="157331"/>
    <x v="7"/>
    <n v="64602"/>
    <n v="68819"/>
    <n v="30268"/>
    <n v="27703"/>
    <n v="3718"/>
    <n v="8622"/>
    <n v="30616"/>
    <m/>
    <m/>
    <n v="32494"/>
    <m/>
    <m/>
    <m/>
    <m/>
    <n v="0"/>
    <n v="0"/>
    <m/>
    <m/>
    <m/>
    <m/>
    <m/>
    <m/>
    <m/>
    <m/>
    <m/>
    <m/>
    <m/>
    <m/>
  </r>
  <r>
    <x v="5"/>
    <s v="Owensboro Community and Technical College "/>
    <m/>
    <n v="247940"/>
    <x v="7"/>
    <n v="65018"/>
    <n v="67499"/>
    <n v="42798"/>
    <n v="41944"/>
    <n v="2410"/>
    <n v="3656"/>
    <n v="19810"/>
    <m/>
    <m/>
    <n v="21899"/>
    <m/>
    <m/>
    <m/>
    <m/>
    <n v="0"/>
    <n v="0"/>
    <m/>
    <m/>
    <m/>
    <m/>
    <m/>
    <m/>
    <m/>
    <m/>
    <m/>
    <m/>
    <m/>
    <m/>
  </r>
  <r>
    <x v="5"/>
    <s v="Somerset Community and Technical College "/>
    <m/>
    <n v="157711"/>
    <x v="7"/>
    <n v="111398"/>
    <n v="109264"/>
    <n v="44637"/>
    <n v="39060"/>
    <n v="4642"/>
    <n v="4627"/>
    <n v="62119"/>
    <m/>
    <m/>
    <n v="65577"/>
    <m/>
    <m/>
    <m/>
    <m/>
    <n v="0"/>
    <n v="0"/>
    <m/>
    <m/>
    <m/>
    <m/>
    <m/>
    <m/>
    <m/>
    <m/>
    <m/>
    <m/>
    <m/>
    <m/>
  </r>
  <r>
    <x v="5"/>
    <s v="West Kentucky Community and Technical College"/>
    <m/>
    <n v="157483"/>
    <x v="7"/>
    <n v="100233"/>
    <n v="96971"/>
    <n v="52415"/>
    <n v="50247"/>
    <n v="5093"/>
    <n v="5601"/>
    <n v="42725"/>
    <m/>
    <m/>
    <n v="41123"/>
    <m/>
    <m/>
    <m/>
    <m/>
    <n v="0"/>
    <n v="0"/>
    <m/>
    <m/>
    <m/>
    <m/>
    <m/>
    <m/>
    <m/>
    <m/>
    <m/>
    <m/>
    <m/>
    <m/>
  </r>
  <r>
    <x v="5"/>
    <s v="Hazard Community and Technical College"/>
    <m/>
    <n v="156790"/>
    <x v="8"/>
    <n v="55266"/>
    <n v="55038"/>
    <n v="19536"/>
    <n v="19036"/>
    <n v="2703"/>
    <n v="2776"/>
    <n v="33027"/>
    <m/>
    <m/>
    <n v="33226"/>
    <m/>
    <m/>
    <m/>
    <m/>
    <n v="0"/>
    <n v="0"/>
    <m/>
    <m/>
    <m/>
    <m/>
    <m/>
    <m/>
    <m/>
    <m/>
    <m/>
    <m/>
    <m/>
    <m/>
  </r>
  <r>
    <x v="5"/>
    <s v="Henderson Community College "/>
    <m/>
    <n v="156851"/>
    <x v="8"/>
    <n v="28589"/>
    <n v="27419"/>
    <n v="14201"/>
    <n v="12489"/>
    <n v="2100"/>
    <n v="2859"/>
    <n v="12288"/>
    <m/>
    <m/>
    <n v="12071"/>
    <m/>
    <m/>
    <m/>
    <m/>
    <n v="0"/>
    <n v="0"/>
    <m/>
    <m/>
    <m/>
    <m/>
    <m/>
    <m/>
    <m/>
    <m/>
    <m/>
    <m/>
    <m/>
    <m/>
  </r>
  <r>
    <x v="5"/>
    <s v="Hopkinsville Community College "/>
    <m/>
    <n v="156860"/>
    <x v="8"/>
    <n v="47436"/>
    <n v="46952"/>
    <n v="26039"/>
    <n v="24202"/>
    <n v="1168"/>
    <n v="1219"/>
    <n v="20229"/>
    <m/>
    <m/>
    <n v="21531"/>
    <m/>
    <m/>
    <m/>
    <m/>
    <n v="0"/>
    <n v="0"/>
    <m/>
    <m/>
    <m/>
    <m/>
    <m/>
    <m/>
    <m/>
    <m/>
    <m/>
    <m/>
    <m/>
    <m/>
  </r>
  <r>
    <x v="5"/>
    <s v="Madisonville Community College"/>
    <m/>
    <n v="157304"/>
    <x v="8"/>
    <n v="49570"/>
    <n v="49982"/>
    <n v="23091"/>
    <n v="21259"/>
    <n v="3759"/>
    <n v="5988"/>
    <n v="22720"/>
    <m/>
    <m/>
    <n v="22735"/>
    <m/>
    <m/>
    <m/>
    <m/>
    <n v="0"/>
    <n v="0"/>
    <m/>
    <m/>
    <m/>
    <m/>
    <m/>
    <m/>
    <m/>
    <m/>
    <m/>
    <m/>
    <m/>
    <m/>
  </r>
  <r>
    <x v="5"/>
    <s v="Southeast Kentucky Community and Technical College"/>
    <m/>
    <n v="157739"/>
    <x v="8"/>
    <n v="75044"/>
    <n v="54900"/>
    <n v="34948"/>
    <n v="30970"/>
    <n v="20048"/>
    <m/>
    <n v="20048"/>
    <m/>
    <m/>
    <n v="23930"/>
    <m/>
    <m/>
    <m/>
    <m/>
    <n v="0"/>
    <n v="0"/>
    <m/>
    <m/>
    <m/>
    <m/>
    <m/>
    <m/>
    <m/>
    <m/>
    <m/>
    <m/>
    <m/>
    <m/>
  </r>
  <r>
    <x v="5"/>
    <s v="Gateway Community and Technical College"/>
    <m/>
    <n v="157438"/>
    <x v="9"/>
    <n v="70387"/>
    <n v="70417"/>
    <n v="45629"/>
    <n v="46248"/>
    <n v="2535"/>
    <n v="1814"/>
    <n v="22223"/>
    <m/>
    <m/>
    <n v="22355"/>
    <m/>
    <m/>
    <m/>
    <m/>
    <n v="0"/>
    <n v="0"/>
    <m/>
    <m/>
    <m/>
    <m/>
    <m/>
    <m/>
    <m/>
    <m/>
    <m/>
    <m/>
    <m/>
    <m/>
  </r>
  <r>
    <x v="5"/>
    <s v="Southcentral Kentucky Community and Technical College"/>
    <m/>
    <n v="156338"/>
    <x v="9"/>
    <n v="77806"/>
    <n v="79544"/>
    <n v="47783"/>
    <n v="48771"/>
    <n v="5360"/>
    <n v="6013"/>
    <n v="24663"/>
    <m/>
    <m/>
    <n v="24760"/>
    <m/>
    <m/>
    <m/>
    <m/>
    <n v="0"/>
    <n v="0"/>
    <m/>
    <m/>
    <m/>
    <m/>
    <m/>
    <m/>
    <m/>
    <m/>
    <m/>
    <m/>
    <m/>
    <m/>
  </r>
  <r>
    <x v="6"/>
    <s v="Louisiana State University and A&amp;M College"/>
    <m/>
    <n v="159391"/>
    <x v="0"/>
    <n v="707259.00000000023"/>
    <n v="697351.99999999977"/>
    <n v="685405.49157303397"/>
    <n v="672267.39568345295"/>
    <m/>
    <m/>
    <n v="21853.508426966298"/>
    <m/>
    <m/>
    <n v="25084.6043165468"/>
    <m/>
    <m/>
    <m/>
    <m/>
    <n v="133260.99999999953"/>
    <n v="137669.49999999959"/>
    <n v="127476.066575822"/>
    <n v="129604.502929115"/>
    <m/>
    <m/>
    <n v="5784.9334241775396"/>
    <m/>
    <m/>
    <n v="8064.9970708845904"/>
    <m/>
    <m/>
    <m/>
    <m/>
  </r>
  <r>
    <x v="6"/>
    <s v="Louisiana Tech University "/>
    <m/>
    <n v="159647"/>
    <x v="1"/>
    <n v="273755"/>
    <n v="273800.00000000017"/>
    <n v="235104.339028777"/>
    <n v="237007.931112622"/>
    <m/>
    <m/>
    <n v="38650.660971222998"/>
    <m/>
    <m/>
    <n v="36792.068887378198"/>
    <m/>
    <m/>
    <m/>
    <m/>
    <n v="24664.999999999978"/>
    <n v="23077.999999999949"/>
    <n v="19296.589769307899"/>
    <n v="18266.093360995801"/>
    <m/>
    <m/>
    <n v="5368.4102306920804"/>
    <m/>
    <m/>
    <n v="4811.9066390041498"/>
    <m/>
    <m/>
    <m/>
    <m/>
  </r>
  <r>
    <x v="6"/>
    <s v="University of Louisiana at Lafayette"/>
    <m/>
    <n v="160658"/>
    <x v="1"/>
    <n v="409857.99999999948"/>
    <n v="402896.00000000041"/>
    <n v="370454.210864903"/>
    <n v="358651.903104253"/>
    <m/>
    <m/>
    <n v="39403.7891350965"/>
    <m/>
    <m/>
    <n v="44244.096895747403"/>
    <m/>
    <m/>
    <m/>
    <m/>
    <n v="27513.99999999996"/>
    <n v="32602.000000000018"/>
    <n v="24194.060331825"/>
    <n v="27878.036734693898"/>
    <m/>
    <m/>
    <n v="3319.9396681749599"/>
    <m/>
    <m/>
    <n v="4723.9632653061199"/>
    <m/>
    <m/>
    <m/>
    <m/>
  </r>
  <r>
    <x v="6"/>
    <s v="University of New Orleans"/>
    <m/>
    <n v="159939"/>
    <x v="1"/>
    <n v="162725.00000000009"/>
    <n v="163642.99999999951"/>
    <n v="137330.03787878799"/>
    <n v="136929.518117295"/>
    <m/>
    <m/>
    <n v="25394.962121212098"/>
    <m/>
    <m/>
    <n v="26713.481882704498"/>
    <m/>
    <m/>
    <m/>
    <m/>
    <n v="22356.999999999989"/>
    <n v="22842.99999999996"/>
    <n v="18514.701691896698"/>
    <n v="18461.871543264901"/>
    <m/>
    <m/>
    <n v="3842.2983081032899"/>
    <m/>
    <m/>
    <n v="4381.1284567350604"/>
    <m/>
    <m/>
    <m/>
    <m/>
  </r>
  <r>
    <x v="6"/>
    <s v="McNeese State University"/>
    <m/>
    <n v="159717"/>
    <x v="2"/>
    <n v="183652"/>
    <n v="186338.99999999959"/>
    <n v="139644.35876840699"/>
    <n v="142010.843729263"/>
    <m/>
    <m/>
    <n v="44007.641231592999"/>
    <m/>
    <m/>
    <n v="44328.156270736603"/>
    <m/>
    <m/>
    <m/>
    <m/>
    <n v="11668"/>
    <n v="10635"/>
    <n v="5727.0631364562096"/>
    <n v="4688.0816326530603"/>
    <m/>
    <m/>
    <n v="5940.9368635437904"/>
    <m/>
    <m/>
    <n v="5946.9183673469397"/>
    <m/>
    <m/>
    <m/>
    <m/>
  </r>
  <r>
    <x v="6"/>
    <s v="Southeastern Louisiana University "/>
    <m/>
    <n v="160612"/>
    <x v="2"/>
    <n v="320141.00000000023"/>
    <n v="325019.99999999977"/>
    <n v="261977.517091596"/>
    <n v="270116.75134433497"/>
    <m/>
    <m/>
    <n v="58163.482908404199"/>
    <m/>
    <m/>
    <n v="54903.2486556648"/>
    <m/>
    <m/>
    <m/>
    <m/>
    <n v="16179.000000000011"/>
    <n v="16667.000000000029"/>
    <n v="10754.388042204"/>
    <n v="11636.8693693694"/>
    <m/>
    <m/>
    <n v="5424.6119577960098"/>
    <m/>
    <m/>
    <n v="5030.1306306306296"/>
    <m/>
    <m/>
    <m/>
    <m/>
  </r>
  <r>
    <x v="6"/>
    <s v="Southern University and A&amp;M College at Baton Rouge "/>
    <m/>
    <n v="160621"/>
    <x v="2"/>
    <n v="147575.99999999991"/>
    <n v="154319.0000000002"/>
    <n v="136587.466865227"/>
    <n v="138649.00466451401"/>
    <m/>
    <m/>
    <n v="10988.533134772901"/>
    <m/>
    <m/>
    <n v="15669.995335486199"/>
    <m/>
    <m/>
    <m/>
    <m/>
    <n v="18602.00000000004"/>
    <n v="16591.99999999996"/>
    <n v="16516.466494845401"/>
    <n v="14301.387755102"/>
    <m/>
    <m/>
    <n v="2085.5335051546399"/>
    <m/>
    <m/>
    <n v="2290.61224489796"/>
    <m/>
    <m/>
    <m/>
    <m/>
  </r>
  <r>
    <x v="6"/>
    <s v="University of Louisiana at Monroe"/>
    <m/>
    <n v="159993"/>
    <x v="2"/>
    <n v="193176.00000000029"/>
    <n v="191309.99999999951"/>
    <n v="140479.029432879"/>
    <n v="139134.545454545"/>
    <m/>
    <m/>
    <n v="52696.970567121301"/>
    <m/>
    <m/>
    <n v="52175.4545454545"/>
    <m/>
    <m/>
    <m/>
    <m/>
    <n v="32060"/>
    <n v="33018"/>
    <n v="15070.4577464789"/>
    <n v="13938.5778491172"/>
    <m/>
    <m/>
    <n v="16989.5422535211"/>
    <m/>
    <m/>
    <n v="19079.422150882801"/>
    <m/>
    <m/>
    <m/>
    <m/>
  </r>
  <r>
    <x v="6"/>
    <s v="Grambling State University"/>
    <m/>
    <n v="159009"/>
    <x v="3"/>
    <n v="117072.0000000002"/>
    <n v="121264.99999999967"/>
    <n v="102047.08013937301"/>
    <n v="111761.892935982"/>
    <m/>
    <m/>
    <n v="15024.9198606272"/>
    <m/>
    <m/>
    <n v="9503.1070640176604"/>
    <m/>
    <m/>
    <m/>
    <m/>
    <n v="19303.000000000051"/>
    <n v="19113.999999999982"/>
    <n v="11789.8562874252"/>
    <n v="15582.6744868035"/>
    <m/>
    <m/>
    <n v="7513.1437125748498"/>
    <m/>
    <m/>
    <n v="3531.3255131964802"/>
    <m/>
    <m/>
    <m/>
    <m/>
  </r>
  <r>
    <x v="6"/>
    <s v="Louisiana State University in Shreveport"/>
    <m/>
    <n v="159416"/>
    <x v="3"/>
    <n v="58511"/>
    <n v="58957"/>
    <n v="44531.770935960601"/>
    <n v="40382.772727272699"/>
    <m/>
    <m/>
    <n v="13979.2290640394"/>
    <m/>
    <m/>
    <n v="18574.227272727301"/>
    <m/>
    <m/>
    <m/>
    <m/>
    <n v="47341"/>
    <n v="70206"/>
    <n v="20514.433333333302"/>
    <n v="26258.149606299201"/>
    <m/>
    <m/>
    <n v="26826.566666666698"/>
    <m/>
    <m/>
    <n v="43947.850393700799"/>
    <m/>
    <m/>
    <m/>
    <m/>
  </r>
  <r>
    <x v="6"/>
    <s v="Nicholls State University "/>
    <m/>
    <n v="159966"/>
    <x v="3"/>
    <n v="150856.99999999988"/>
    <n v="155423.99999999991"/>
    <n v="102052.06556733399"/>
    <n v="105613.133786848"/>
    <m/>
    <m/>
    <n v="48804.934432665897"/>
    <m/>
    <m/>
    <n v="49810.866213151901"/>
    <m/>
    <m/>
    <m/>
    <m/>
    <n v="10532"/>
    <n v="10075"/>
    <n v="4855.8753894081001"/>
    <n v="4520.8333333333303"/>
    <m/>
    <m/>
    <n v="5676.1246105918999"/>
    <m/>
    <m/>
    <n v="5554.1666666666697"/>
    <m/>
    <m/>
    <m/>
    <m/>
  </r>
  <r>
    <x v="6"/>
    <s v="Northwestern State University"/>
    <m/>
    <n v="160038"/>
    <x v="3"/>
    <n v="226744"/>
    <n v="239272"/>
    <n v="145873.044649185"/>
    <n v="158505.96075010899"/>
    <m/>
    <m/>
    <n v="80870.955350814998"/>
    <m/>
    <m/>
    <n v="80766.039249890993"/>
    <m/>
    <m/>
    <m/>
    <m/>
    <n v="15622"/>
    <n v="15274.999999999989"/>
    <n v="3852"/>
    <n v="4324.3309859154897"/>
    <m/>
    <m/>
    <n v="11770"/>
    <m/>
    <m/>
    <n v="10950.6690140845"/>
    <m/>
    <m/>
    <m/>
    <m/>
  </r>
  <r>
    <x v="6"/>
    <s v="Southern University at New Orleans"/>
    <m/>
    <n v="160630"/>
    <x v="4"/>
    <n v="49569.999999999964"/>
    <n v="48565.000000000015"/>
    <n v="43476.517073170697"/>
    <n v="41698.227459016402"/>
    <m/>
    <m/>
    <n v="6093.4829268292697"/>
    <m/>
    <m/>
    <n v="6866.7725409836103"/>
    <m/>
    <m/>
    <m/>
    <m/>
    <n v="9558"/>
    <n v="9486"/>
    <n v="8230.5"/>
    <n v="8218.4741379310308"/>
    <m/>
    <m/>
    <n v="1327.5"/>
    <m/>
    <m/>
    <n v="1267.5258620689699"/>
    <m/>
    <m/>
    <m/>
    <m/>
  </r>
  <r>
    <x v="6"/>
    <s v="Louisiana State University at Alexandria"/>
    <m/>
    <n v="159382"/>
    <x v="5"/>
    <n v="72677"/>
    <n v="74440"/>
    <n v="46862.1296"/>
    <n v="46504.698181818203"/>
    <m/>
    <m/>
    <n v="25814.8704"/>
    <m/>
    <m/>
    <n v="27935.301818181801"/>
    <m/>
    <m/>
    <m/>
    <m/>
    <n v="0"/>
    <n v="0"/>
    <m/>
    <m/>
    <m/>
    <m/>
    <m/>
    <m/>
    <m/>
    <m/>
    <m/>
    <m/>
    <m/>
    <m/>
  </r>
  <r>
    <x v="6"/>
    <s v="Baton Rouge Community College"/>
    <m/>
    <n v="437103"/>
    <x v="6"/>
    <n v="161547.99999999959"/>
    <n v="167576.99999999988"/>
    <n v="140612.93079096"/>
    <n v="138734.77124182999"/>
    <m/>
    <m/>
    <n v="20935.069209039601"/>
    <m/>
    <m/>
    <n v="28842.228758169898"/>
    <m/>
    <m/>
    <m/>
    <m/>
    <n v="0"/>
    <n v="0"/>
    <m/>
    <m/>
    <m/>
    <m/>
    <m/>
    <m/>
    <m/>
    <m/>
    <m/>
    <m/>
    <m/>
    <m/>
  </r>
  <r>
    <x v="6"/>
    <s v="Bossier Parish Community College"/>
    <s v="Met the criteria for Two-Year 2 in 2017-18 and 2018-19."/>
    <n v="158431"/>
    <x v="6"/>
    <n v="136287"/>
    <n v="140946"/>
    <n v="92358.877518130495"/>
    <n v="93499.980246913605"/>
    <m/>
    <m/>
    <n v="43928.122481869497"/>
    <m/>
    <m/>
    <n v="47446.019753086402"/>
    <m/>
    <m/>
    <m/>
    <m/>
    <n v="0"/>
    <n v="0"/>
    <m/>
    <m/>
    <m/>
    <m/>
    <m/>
    <m/>
    <m/>
    <m/>
    <m/>
    <m/>
    <m/>
    <m/>
  </r>
  <r>
    <x v="6"/>
    <s v="Delgado Community College "/>
    <m/>
    <n v="158662"/>
    <x v="6"/>
    <n v="278208.00000000041"/>
    <n v="275947.99999999988"/>
    <n v="228557.99798725301"/>
    <n v="224389.805770584"/>
    <m/>
    <m/>
    <n v="49650.002012747398"/>
    <m/>
    <m/>
    <n v="51558.194229415902"/>
    <m/>
    <m/>
    <m/>
    <m/>
    <n v="0"/>
    <n v="0"/>
    <m/>
    <m/>
    <m/>
    <m/>
    <m/>
    <m/>
    <m/>
    <m/>
    <m/>
    <m/>
    <m/>
    <m/>
  </r>
  <r>
    <x v="6"/>
    <s v="Louisiana Delta Community College"/>
    <m/>
    <n v="440624"/>
    <x v="7"/>
    <n v="73594"/>
    <n v="80300"/>
    <n v="55535.679097461601"/>
    <n v="57146.389385047201"/>
    <m/>
    <m/>
    <n v="18058.320902538399"/>
    <m/>
    <m/>
    <n v="23153.610614952799"/>
    <m/>
    <m/>
    <m/>
    <m/>
    <n v="0"/>
    <n v="0"/>
    <m/>
    <m/>
    <m/>
    <m/>
    <m/>
    <m/>
    <m/>
    <m/>
    <m/>
    <m/>
    <m/>
    <m/>
  </r>
  <r>
    <x v="6"/>
    <s v="South Louisiana Community College"/>
    <m/>
    <n v="434061"/>
    <x v="7"/>
    <n v="136495.50000000029"/>
    <n v="138411.00000000041"/>
    <n v="121005.602674953"/>
    <n v="118152.085066163"/>
    <m/>
    <m/>
    <n v="15489.897325047299"/>
    <m/>
    <m/>
    <n v="20258.914933837401"/>
    <m/>
    <m/>
    <m/>
    <m/>
    <n v="0"/>
    <n v="0"/>
    <m/>
    <m/>
    <m/>
    <m/>
    <m/>
    <m/>
    <m/>
    <m/>
    <m/>
    <m/>
    <m/>
    <m/>
  </r>
  <r>
    <x v="6"/>
    <s v="Southern University in Shreveport"/>
    <m/>
    <n v="160649"/>
    <x v="7"/>
    <n v="66609"/>
    <n v="60297"/>
    <n v="56097.802744425397"/>
    <n v="48237.599999999999"/>
    <m/>
    <m/>
    <n v="10511.1972555746"/>
    <m/>
    <m/>
    <n v="12059.4"/>
    <m/>
    <m/>
    <m/>
    <m/>
    <n v="0"/>
    <n v="0"/>
    <m/>
    <m/>
    <m/>
    <m/>
    <m/>
    <m/>
    <m/>
    <m/>
    <m/>
    <m/>
    <m/>
    <m/>
  </r>
  <r>
    <x v="6"/>
    <s v="Louisiana State University at Eunice"/>
    <s v="Met the criteria for Two-Year 2 in 2018-19."/>
    <n v="159407"/>
    <x v="8"/>
    <n v="59060"/>
    <n v="63178"/>
    <n v="40297.047898338198"/>
    <n v="42639.144486691999"/>
    <m/>
    <m/>
    <n v="18762.952101661798"/>
    <m/>
    <m/>
    <n v="20538.855513308001"/>
    <m/>
    <m/>
    <m/>
    <m/>
    <n v="0"/>
    <n v="0"/>
    <m/>
    <m/>
    <m/>
    <m/>
    <m/>
    <m/>
    <m/>
    <m/>
    <m/>
    <m/>
    <m/>
    <m/>
  </r>
  <r>
    <x v="6"/>
    <s v="Nunez Community College"/>
    <m/>
    <n v="158884"/>
    <x v="8"/>
    <n v="47593"/>
    <n v="45520"/>
    <n v="30979.907571288099"/>
    <n v="29164.712755598801"/>
    <m/>
    <m/>
    <n v="16613.092428711901"/>
    <m/>
    <m/>
    <n v="16355.287244401199"/>
    <m/>
    <m/>
    <m/>
    <m/>
    <n v="0"/>
    <n v="0"/>
    <m/>
    <m/>
    <m/>
    <m/>
    <m/>
    <m/>
    <m/>
    <m/>
    <m/>
    <m/>
    <m/>
    <m/>
  </r>
  <r>
    <x v="6"/>
    <s v="River Parishes Community College"/>
    <s v="Met the criteria for Two-Year 2 in 2018-19."/>
    <n v="436304"/>
    <x v="8"/>
    <n v="41113"/>
    <n v="65304.000000000036"/>
    <n v="33924.689308176101"/>
    <n v="55942.576371725198"/>
    <m/>
    <m/>
    <n v="7188.3106918239"/>
    <m/>
    <m/>
    <n v="9361.4236282748407"/>
    <m/>
    <m/>
    <m/>
    <m/>
    <n v="0"/>
    <n v="0"/>
    <m/>
    <m/>
    <m/>
    <m/>
    <m/>
    <m/>
    <m/>
    <m/>
    <m/>
    <m/>
    <m/>
    <m/>
  </r>
  <r>
    <x v="6"/>
    <s v="Central LA Technical Community College"/>
    <m/>
    <n v="158088"/>
    <x v="9"/>
    <n v="46503.999999999949"/>
    <n v="43623.999999999978"/>
    <n v="39899.346303501901"/>
    <n v="35297.963605586097"/>
    <m/>
    <m/>
    <n v="6604.6536964980496"/>
    <m/>
    <m/>
    <n v="8326.0363944138808"/>
    <m/>
    <m/>
    <m/>
    <m/>
    <n v="0"/>
    <n v="0"/>
    <m/>
    <m/>
    <m/>
    <m/>
    <m/>
    <m/>
    <m/>
    <m/>
    <m/>
    <m/>
    <m/>
    <m/>
  </r>
  <r>
    <x v="6"/>
    <s v="L.E. Fletcher Technical Community College"/>
    <m/>
    <n v="160481"/>
    <x v="9"/>
    <n v="40980.000000000044"/>
    <n v="44475"/>
    <n v="31148.8127294982"/>
    <n v="32029.9775784753"/>
    <m/>
    <m/>
    <n v="9831.1872705018395"/>
    <m/>
    <m/>
    <n v="12445.0224215247"/>
    <m/>
    <m/>
    <m/>
    <m/>
    <n v="0"/>
    <n v="0"/>
    <m/>
    <m/>
    <m/>
    <m/>
    <m/>
    <m/>
    <m/>
    <m/>
    <m/>
    <m/>
    <m/>
    <m/>
  </r>
  <r>
    <x v="6"/>
    <s v="Northshore Technical College"/>
    <m/>
    <n v="160667"/>
    <x v="9"/>
    <n v="65592"/>
    <n v="68376"/>
    <n v="55573.892063492101"/>
    <n v="54423.154852030297"/>
    <m/>
    <m/>
    <n v="10018.1079365079"/>
    <m/>
    <m/>
    <n v="13952.8451479697"/>
    <m/>
    <m/>
    <m/>
    <m/>
    <n v="0"/>
    <n v="0"/>
    <m/>
    <m/>
    <m/>
    <m/>
    <m/>
    <m/>
    <m/>
    <m/>
    <m/>
    <m/>
    <m/>
    <m/>
  </r>
  <r>
    <x v="6"/>
    <s v="Northwest LA Technical College"/>
    <s v="Met the criteria for Technical Institute or College 2 in 2017-18 and 2018-19. "/>
    <n v="160010"/>
    <x v="9"/>
    <n v="27171"/>
    <n v="23316.999999999996"/>
    <n v="27171"/>
    <n v="23294.449709864599"/>
    <m/>
    <m/>
    <n v="0"/>
    <m/>
    <m/>
    <n v="22.550290135396502"/>
    <m/>
    <m/>
    <m/>
    <m/>
    <n v="0"/>
    <n v="0"/>
    <m/>
    <m/>
    <m/>
    <m/>
    <m/>
    <m/>
    <m/>
    <m/>
    <m/>
    <m/>
    <m/>
    <m/>
  </r>
  <r>
    <x v="6"/>
    <s v="South Central LA Technical College"/>
    <s v="*Delete after 2016-17; campuses have been absorbed into other institutions."/>
    <n v="160913"/>
    <x v="9"/>
    <n v="33300.999999999956"/>
    <n v="0"/>
    <n v="28050.746980292399"/>
    <m/>
    <m/>
    <m/>
    <n v="5250.2530197075603"/>
    <m/>
    <m/>
    <m/>
    <m/>
    <m/>
    <m/>
    <m/>
    <n v="0"/>
    <n v="0"/>
    <m/>
    <m/>
    <m/>
    <m/>
    <m/>
    <m/>
    <m/>
    <m/>
    <m/>
    <m/>
    <m/>
    <m/>
  </r>
  <r>
    <x v="6"/>
    <s v="Sowela Technical Community College"/>
    <m/>
    <n v="160579"/>
    <x v="9"/>
    <n v="66345.5"/>
    <n v="70688"/>
    <n v="56204.731434751302"/>
    <n v="58366.657198192399"/>
    <m/>
    <m/>
    <n v="10140.7685652487"/>
    <m/>
    <m/>
    <n v="12321.342801807599"/>
    <m/>
    <m/>
    <m/>
    <m/>
    <n v="0"/>
    <n v="0"/>
    <m/>
    <m/>
    <m/>
    <m/>
    <m/>
    <m/>
    <m/>
    <m/>
    <m/>
    <m/>
    <m/>
    <m/>
  </r>
  <r>
    <x v="6"/>
    <s v="Louisiana State University Health Sciences Center - New Orleans"/>
    <m/>
    <n v="159373"/>
    <x v="11"/>
    <n v="0"/>
    <n v="0"/>
    <m/>
    <m/>
    <m/>
    <m/>
    <m/>
    <m/>
    <m/>
    <m/>
    <m/>
    <m/>
    <m/>
    <m/>
    <n v="0"/>
    <n v="0"/>
    <m/>
    <m/>
    <m/>
    <m/>
    <m/>
    <m/>
    <m/>
    <m/>
    <m/>
    <m/>
    <m/>
    <m/>
  </r>
  <r>
    <x v="6"/>
    <s v="Louisiana State University Health Sciences Center - Shreveport"/>
    <m/>
    <n v="435000"/>
    <x v="11"/>
    <n v="0"/>
    <n v="0"/>
    <m/>
    <m/>
    <m/>
    <m/>
    <m/>
    <m/>
    <m/>
    <m/>
    <m/>
    <m/>
    <m/>
    <m/>
    <n v="0"/>
    <n v="0"/>
    <m/>
    <m/>
    <m/>
    <m/>
    <m/>
    <m/>
    <m/>
    <m/>
    <m/>
    <m/>
    <m/>
    <m/>
  </r>
  <r>
    <x v="7"/>
    <s v="University of Maryland College Park"/>
    <m/>
    <n v="163286"/>
    <x v="0"/>
    <n v="853125"/>
    <n v="864022"/>
    <n v="800608"/>
    <n v="808476"/>
    <n v="16569"/>
    <n v="15042"/>
    <n v="35162"/>
    <n v="786"/>
    <m/>
    <n v="39547"/>
    <n v="957"/>
    <m/>
    <m/>
    <m/>
    <n v="158715.5"/>
    <n v="159015"/>
    <n v="123099.5"/>
    <n v="122367"/>
    <n v="19764"/>
    <n v="16914"/>
    <n v="15188"/>
    <n v="664"/>
    <m/>
    <n v="19226"/>
    <n v="508"/>
    <n v="0"/>
    <m/>
    <m/>
  </r>
  <r>
    <x v="7"/>
    <s v="Morgan State University"/>
    <m/>
    <n v="163453"/>
    <x v="1"/>
    <n v="184154"/>
    <n v="190281"/>
    <n v="170277"/>
    <n v="176794"/>
    <n v="66"/>
    <n v="48"/>
    <n v="13811"/>
    <n v="0"/>
    <m/>
    <n v="13439"/>
    <n v="0"/>
    <m/>
    <m/>
    <m/>
    <n v="24551"/>
    <n v="24322"/>
    <n v="19255"/>
    <n v="19122"/>
    <n v="42"/>
    <n v="93"/>
    <n v="5254"/>
    <n v="0"/>
    <m/>
    <n v="5107"/>
    <n v="0"/>
    <n v="0"/>
    <m/>
    <m/>
  </r>
  <r>
    <x v="7"/>
    <s v="University of Maryland, Baltimore County"/>
    <m/>
    <n v="163268"/>
    <x v="1"/>
    <n v="317175"/>
    <n v="322423"/>
    <n v="266808"/>
    <n v="271847"/>
    <n v="7763"/>
    <n v="7335"/>
    <n v="42604"/>
    <n v="0"/>
    <m/>
    <n v="43241"/>
    <n v="0"/>
    <m/>
    <m/>
    <m/>
    <n v="33052"/>
    <n v="33987"/>
    <n v="22159"/>
    <n v="22714"/>
    <n v="3367"/>
    <n v="3527"/>
    <n v="7526"/>
    <n v="0"/>
    <m/>
    <n v="7746"/>
    <n v="0"/>
    <n v="0"/>
    <m/>
    <m/>
  </r>
  <r>
    <x v="7"/>
    <s v="Towson University "/>
    <m/>
    <n v="164076"/>
    <x v="2"/>
    <n v="544909"/>
    <n v="550848.5"/>
    <n v="469945"/>
    <n v="479082.5"/>
    <n v="11415"/>
    <n v="11986"/>
    <n v="63450"/>
    <n v="99"/>
    <m/>
    <n v="59780"/>
    <n v="0"/>
    <m/>
    <m/>
    <m/>
    <n v="44409"/>
    <n v="45223"/>
    <n v="27070"/>
    <n v="27769.5"/>
    <n v="5957"/>
    <n v="6545.5"/>
    <n v="11370"/>
    <n v="12"/>
    <m/>
    <n v="10908"/>
    <n v="0"/>
    <n v="0"/>
    <m/>
    <m/>
  </r>
  <r>
    <x v="7"/>
    <s v="University of Baltimore"/>
    <m/>
    <n v="161873"/>
    <x v="2"/>
    <n v="67059"/>
    <n v="144158"/>
    <n v="47583"/>
    <n v="114104"/>
    <n v="1314"/>
    <n v="0"/>
    <n v="18162"/>
    <n v="0"/>
    <m/>
    <n v="30054"/>
    <n v="0"/>
    <m/>
    <m/>
    <m/>
    <n v="44150"/>
    <n v="15018"/>
    <n v="33078"/>
    <n v="12697"/>
    <n v="1821"/>
    <n v="0"/>
    <n v="9251"/>
    <n v="0"/>
    <m/>
    <n v="2321"/>
    <n v="0"/>
    <n v="0"/>
    <m/>
    <m/>
  </r>
  <r>
    <x v="7"/>
    <s v="Bowie State University "/>
    <s v="Met the criteria for Four-Year 3 in 2018-19."/>
    <n v="162007"/>
    <x v="3"/>
    <n v="136075"/>
    <n v="128987"/>
    <n v="112186"/>
    <n v="99006"/>
    <n v="0"/>
    <n v="3093"/>
    <n v="23889"/>
    <n v="0"/>
    <m/>
    <n v="26888"/>
    <n v="0"/>
    <m/>
    <m/>
    <m/>
    <n v="15976"/>
    <n v="9864"/>
    <n v="12190"/>
    <n v="4039"/>
    <n v="2222"/>
    <n v="480"/>
    <n v="1564"/>
    <n v="0"/>
    <m/>
    <n v="5345"/>
    <n v="0"/>
    <n v="0"/>
    <m/>
    <m/>
  </r>
  <r>
    <x v="7"/>
    <s v="Frostburg State University "/>
    <m/>
    <n v="162584"/>
    <x v="3"/>
    <n v="131583"/>
    <n v="228174"/>
    <n v="104619"/>
    <n v="196008"/>
    <n v="2818"/>
    <n v="2604"/>
    <n v="24146"/>
    <n v="0"/>
    <m/>
    <n v="22775"/>
    <n v="6787"/>
    <m/>
    <m/>
    <m/>
    <n v="10471"/>
    <n v="15405"/>
    <n v="3557"/>
    <n v="2375"/>
    <n v="818"/>
    <n v="0"/>
    <n v="6096"/>
    <n v="0"/>
    <m/>
    <n v="9649"/>
    <n v="3381"/>
    <n v="0"/>
    <m/>
    <m/>
  </r>
  <r>
    <x v="7"/>
    <s v="Salisbury University "/>
    <m/>
    <n v="163851"/>
    <x v="3"/>
    <n v="234127"/>
    <n v="58715"/>
    <n v="205095"/>
    <n v="40368"/>
    <n v="2726"/>
    <n v="1173"/>
    <n v="20592"/>
    <n v="5714"/>
    <m/>
    <n v="17174"/>
    <n v="0"/>
    <m/>
    <m/>
    <m/>
    <n v="15560"/>
    <n v="42737"/>
    <n v="3110"/>
    <n v="30674"/>
    <n v="30"/>
    <n v="1694"/>
    <n v="9121"/>
    <n v="3299"/>
    <m/>
    <n v="10369"/>
    <n v="0"/>
    <n v="0"/>
    <m/>
    <m/>
  </r>
  <r>
    <x v="7"/>
    <s v="University of Maryland Eastern Shore "/>
    <m/>
    <n v="163338"/>
    <x v="3"/>
    <n v="84678"/>
    <n v="78210"/>
    <n v="69123"/>
    <n v="63022.5"/>
    <n v="2046"/>
    <n v="1590.5"/>
    <n v="13509"/>
    <n v="0"/>
    <m/>
    <n v="13597"/>
    <n v="0"/>
    <m/>
    <m/>
    <m/>
    <n v="18323"/>
    <n v="16488.5"/>
    <n v="17460"/>
    <n v="15276.5"/>
    <n v="209"/>
    <n v="339"/>
    <n v="654"/>
    <n v="0"/>
    <m/>
    <n v="873"/>
    <n v="0"/>
    <n v="0"/>
    <m/>
    <m/>
  </r>
  <r>
    <x v="7"/>
    <s v="Coppin State University"/>
    <m/>
    <n v="162283"/>
    <x v="4"/>
    <n v="63125"/>
    <n v="61715"/>
    <n v="48548"/>
    <n v="48596"/>
    <n v="1564"/>
    <n v="45"/>
    <n v="13013"/>
    <n v="0"/>
    <m/>
    <n v="13074"/>
    <n v="0"/>
    <m/>
    <m/>
    <m/>
    <n v="5008"/>
    <n v="5201"/>
    <n v="3823"/>
    <n v="4291"/>
    <n v="544"/>
    <n v="234"/>
    <n v="641"/>
    <n v="0"/>
    <m/>
    <n v="676"/>
    <n v="0"/>
    <n v="0"/>
    <m/>
    <m/>
  </r>
  <r>
    <x v="7"/>
    <s v="Saint Mary's College of Maryland"/>
    <m/>
    <n v="163912"/>
    <x v="5"/>
    <n v="48855"/>
    <n v="48085.5"/>
    <n v="48855"/>
    <n v="48013.5"/>
    <n v="0"/>
    <n v="0"/>
    <n v="0"/>
    <n v="0"/>
    <m/>
    <n v="72"/>
    <n v="0"/>
    <m/>
    <m/>
    <m/>
    <n v="1409"/>
    <n v="1333"/>
    <n v="1409"/>
    <n v="1333"/>
    <n v="0"/>
    <n v="0"/>
    <n v="0"/>
    <n v="0"/>
    <m/>
    <n v="0"/>
    <n v="0"/>
    <n v="0"/>
    <m/>
    <m/>
  </r>
  <r>
    <x v="7"/>
    <s v="Anne Arundel Community College "/>
    <m/>
    <n v="161767"/>
    <x v="6"/>
    <n v="242050"/>
    <n v="233503"/>
    <n v="163685"/>
    <n v="151595"/>
    <n v="4198"/>
    <n v="4519"/>
    <n v="73941"/>
    <n v="226"/>
    <m/>
    <n v="77129"/>
    <n v="260"/>
    <m/>
    <m/>
    <m/>
    <n v="0"/>
    <n v="0"/>
    <n v="0"/>
    <n v="0"/>
    <n v="0"/>
    <n v="0"/>
    <n v="0"/>
    <n v="0"/>
    <m/>
    <n v="0"/>
    <n v="0"/>
    <n v="0"/>
    <m/>
    <m/>
  </r>
  <r>
    <x v="7"/>
    <s v="College of Southern Maryland"/>
    <s v="Met the criteria for Two-Year 2 in 2017-18 and 2018-19."/>
    <n v="162122"/>
    <x v="6"/>
    <n v="140742"/>
    <n v="133732"/>
    <n v="84581"/>
    <n v="78847"/>
    <n v="5024"/>
    <n v="5693"/>
    <n v="50956"/>
    <n v="181"/>
    <m/>
    <n v="48878"/>
    <n v="314"/>
    <m/>
    <m/>
    <m/>
    <n v="0"/>
    <n v="0"/>
    <n v="0"/>
    <n v="0"/>
    <n v="0"/>
    <n v="0"/>
    <n v="0"/>
    <n v="0"/>
    <m/>
    <n v="0"/>
    <n v="0"/>
    <n v="0"/>
    <m/>
    <m/>
  </r>
  <r>
    <x v="7"/>
    <s v="Community College of Baltimore County (all campuses)"/>
    <m/>
    <n v="434672"/>
    <x v="6"/>
    <n v="354049"/>
    <n v="344522"/>
    <n v="248207"/>
    <n v="228868"/>
    <n v="40744"/>
    <n v="41334"/>
    <n v="65098"/>
    <n v="0"/>
    <m/>
    <n v="74320"/>
    <n v="0"/>
    <m/>
    <m/>
    <m/>
    <n v="0"/>
    <n v="0"/>
    <n v="0"/>
    <n v="0"/>
    <n v="0"/>
    <n v="0"/>
    <n v="0"/>
    <n v="0"/>
    <m/>
    <n v="0"/>
    <n v="0"/>
    <n v="0"/>
    <m/>
    <m/>
  </r>
  <r>
    <x v="7"/>
    <s v="Howard Community College "/>
    <m/>
    <n v="162779"/>
    <x v="6"/>
    <n v="188465"/>
    <n v="184652"/>
    <n v="147717"/>
    <n v="142588"/>
    <n v="8030"/>
    <n v="7811"/>
    <n v="32718"/>
    <n v="0"/>
    <m/>
    <n v="34253"/>
    <n v="0"/>
    <m/>
    <m/>
    <m/>
    <n v="0"/>
    <n v="0"/>
    <n v="0"/>
    <n v="0"/>
    <n v="0"/>
    <n v="0"/>
    <n v="0"/>
    <n v="0"/>
    <m/>
    <n v="0"/>
    <n v="0"/>
    <n v="0"/>
    <m/>
    <m/>
  </r>
  <r>
    <x v="7"/>
    <s v="Montgomery College (all campuses)"/>
    <m/>
    <n v="163426"/>
    <x v="6"/>
    <n v="665685"/>
    <n v="649848"/>
    <n v="504569"/>
    <n v="485389"/>
    <n v="88727"/>
    <n v="88968"/>
    <n v="72389"/>
    <n v="0"/>
    <m/>
    <n v="75491"/>
    <n v="0"/>
    <m/>
    <m/>
    <m/>
    <n v="0"/>
    <n v="0"/>
    <n v="0"/>
    <n v="0"/>
    <n v="0"/>
    <n v="0"/>
    <n v="0"/>
    <n v="0"/>
    <m/>
    <n v="0"/>
    <n v="0"/>
    <n v="0"/>
    <m/>
    <m/>
  </r>
  <r>
    <x v="7"/>
    <s v="Prince George's Community College "/>
    <m/>
    <n v="163657"/>
    <x v="6"/>
    <n v="409193"/>
    <n v="391695"/>
    <n v="183911"/>
    <n v="179555"/>
    <n v="182900"/>
    <n v="167494"/>
    <n v="42382"/>
    <n v="0"/>
    <m/>
    <n v="44646"/>
    <n v="0"/>
    <m/>
    <m/>
    <m/>
    <n v="0"/>
    <n v="0"/>
    <n v="0"/>
    <n v="0"/>
    <n v="0"/>
    <n v="0"/>
    <n v="0"/>
    <n v="0"/>
    <m/>
    <n v="0"/>
    <n v="0"/>
    <n v="0"/>
    <m/>
    <m/>
  </r>
  <r>
    <x v="7"/>
    <s v="Allegany College of Maryland"/>
    <s v="Reclassified: Met the criteria for Two-Year 3 in 2016-17, 2017-18, and 2018-19."/>
    <n v="161688"/>
    <x v="7"/>
    <n v="53541"/>
    <n v="49593"/>
    <n v="33558"/>
    <n v="30819"/>
    <n v="8669"/>
    <n v="8712"/>
    <n v="9291"/>
    <n v="2023"/>
    <m/>
    <n v="9166"/>
    <n v="896"/>
    <m/>
    <m/>
    <m/>
    <n v="0"/>
    <n v="0"/>
    <n v="0"/>
    <n v="0"/>
    <n v="0"/>
    <n v="0"/>
    <n v="0"/>
    <n v="0"/>
    <m/>
    <n v="0"/>
    <n v="0"/>
    <n v="0"/>
    <m/>
    <m/>
  </r>
  <r>
    <x v="7"/>
    <s v="Baltimore City Community College"/>
    <m/>
    <n v="161864"/>
    <x v="7"/>
    <n v="77791"/>
    <n v="82991.399999999994"/>
    <n v="54789"/>
    <n v="57526.9"/>
    <n v="3198"/>
    <n v="9504.5"/>
    <n v="19804"/>
    <n v="0"/>
    <m/>
    <n v="15960"/>
    <n v="0"/>
    <m/>
    <m/>
    <m/>
    <n v="0"/>
    <n v="0"/>
    <n v="0"/>
    <n v="0"/>
    <n v="0"/>
    <n v="0"/>
    <n v="0"/>
    <n v="0"/>
    <m/>
    <n v="0"/>
    <n v="0"/>
    <n v="0"/>
    <m/>
    <m/>
  </r>
  <r>
    <x v="7"/>
    <s v="Carroll Community College"/>
    <s v="Met the criteria for Two-Year 3 in 2018-19."/>
    <n v="405872"/>
    <x v="7"/>
    <n v="60502"/>
    <n v="58589.5"/>
    <n v="45513"/>
    <n v="44027.5"/>
    <n v="686"/>
    <n v="1909"/>
    <n v="14267"/>
    <n v="36"/>
    <m/>
    <n v="12602"/>
    <n v="51"/>
    <m/>
    <m/>
    <m/>
    <n v="0"/>
    <n v="0"/>
    <n v="0"/>
    <n v="0"/>
    <n v="0"/>
    <n v="0"/>
    <n v="0"/>
    <n v="0"/>
    <m/>
    <n v="0"/>
    <n v="0"/>
    <n v="0"/>
    <m/>
    <m/>
  </r>
  <r>
    <x v="7"/>
    <s v="Frederick Community College "/>
    <m/>
    <n v="162557"/>
    <x v="7"/>
    <n v="113685"/>
    <n v="107702"/>
    <n v="81900"/>
    <n v="75041"/>
    <n v="7341"/>
    <n v="7822"/>
    <n v="24444"/>
    <n v="0"/>
    <m/>
    <n v="24839"/>
    <n v="0"/>
    <m/>
    <m/>
    <m/>
    <n v="0"/>
    <n v="0"/>
    <n v="0"/>
    <n v="0"/>
    <n v="0"/>
    <n v="0"/>
    <n v="0"/>
    <n v="0"/>
    <m/>
    <n v="0"/>
    <n v="0"/>
    <n v="0"/>
    <m/>
    <m/>
  </r>
  <r>
    <x v="7"/>
    <s v="Hagerstown Community College "/>
    <m/>
    <n v="162690"/>
    <x v="7"/>
    <n v="78222"/>
    <n v="79544"/>
    <n v="49296"/>
    <n v="49376"/>
    <n v="5092"/>
    <n v="5254"/>
    <n v="23773"/>
    <n v="0"/>
    <m/>
    <n v="24818"/>
    <n v="0"/>
    <m/>
    <n v="61"/>
    <n v="96"/>
    <n v="0"/>
    <n v="0"/>
    <n v="0"/>
    <n v="0"/>
    <n v="0"/>
    <n v="0"/>
    <n v="0"/>
    <n v="0"/>
    <m/>
    <n v="0"/>
    <n v="0"/>
    <n v="0"/>
    <m/>
    <m/>
  </r>
  <r>
    <x v="7"/>
    <s v="Harford Community College "/>
    <m/>
    <n v="162706"/>
    <x v="7"/>
    <n v="112934.5"/>
    <n v="105968"/>
    <n v="72596.5"/>
    <n v="67225"/>
    <n v="2971"/>
    <n v="2572"/>
    <n v="37367"/>
    <n v="0"/>
    <m/>
    <n v="36171"/>
    <n v="0"/>
    <m/>
    <m/>
    <m/>
    <n v="0"/>
    <n v="0"/>
    <n v="0"/>
    <n v="0"/>
    <n v="0"/>
    <n v="0"/>
    <n v="0"/>
    <n v="0"/>
    <m/>
    <n v="0"/>
    <n v="0"/>
    <n v="0"/>
    <m/>
    <m/>
  </r>
  <r>
    <x v="7"/>
    <s v="Cecil Community College "/>
    <m/>
    <n v="162104"/>
    <x v="8"/>
    <n v="45607"/>
    <n v="52326.5"/>
    <n v="32092"/>
    <n v="37667.5"/>
    <n v="2432"/>
    <n v="2552"/>
    <n v="11083"/>
    <n v="0"/>
    <m/>
    <n v="11957"/>
    <n v="150"/>
    <m/>
    <m/>
    <m/>
    <n v="0"/>
    <n v="0"/>
    <n v="0"/>
    <n v="0"/>
    <n v="0"/>
    <n v="0"/>
    <n v="0"/>
    <n v="0"/>
    <m/>
    <n v="0"/>
    <n v="0"/>
    <n v="0"/>
    <m/>
    <m/>
  </r>
  <r>
    <x v="7"/>
    <s v="Chesapeake College "/>
    <m/>
    <n v="162168"/>
    <x v="8"/>
    <n v="36291"/>
    <n v="42408"/>
    <n v="22028"/>
    <n v="28878"/>
    <n v="4117"/>
    <n v="2259"/>
    <n v="9294"/>
    <n v="852"/>
    <m/>
    <n v="11271"/>
    <n v="0"/>
    <m/>
    <m/>
    <m/>
    <n v="0"/>
    <n v="0"/>
    <n v="0"/>
    <n v="0"/>
    <n v="0"/>
    <n v="0"/>
    <n v="0"/>
    <n v="0"/>
    <m/>
    <n v="0"/>
    <n v="0"/>
    <n v="0"/>
    <m/>
    <m/>
  </r>
  <r>
    <x v="7"/>
    <s v="Garrett College "/>
    <m/>
    <n v="162609"/>
    <x v="8"/>
    <n v="15301"/>
    <n v="34688"/>
    <n v="11996"/>
    <n v="20086"/>
    <n v="116"/>
    <n v="3735"/>
    <n v="2793"/>
    <n v="396"/>
    <m/>
    <n v="10178"/>
    <n v="689"/>
    <m/>
    <m/>
    <m/>
    <n v="0"/>
    <n v="0"/>
    <n v="0"/>
    <n v="0"/>
    <n v="0"/>
    <n v="0"/>
    <n v="0"/>
    <n v="0"/>
    <m/>
    <n v="0"/>
    <n v="0"/>
    <n v="0"/>
    <m/>
    <m/>
  </r>
  <r>
    <x v="7"/>
    <s v="Wor-Wic Community College "/>
    <m/>
    <n v="164313"/>
    <x v="8"/>
    <n v="52756.5"/>
    <n v="14581.5"/>
    <n v="40409.5"/>
    <n v="10413.5"/>
    <n v="2401"/>
    <n v="685"/>
    <n v="9871"/>
    <n v="75"/>
    <m/>
    <n v="3303"/>
    <n v="180"/>
    <m/>
    <m/>
    <m/>
    <n v="0"/>
    <n v="0"/>
    <n v="0"/>
    <n v="0"/>
    <n v="0"/>
    <n v="0"/>
    <n v="0"/>
    <n v="0"/>
    <m/>
    <n v="0"/>
    <n v="0"/>
    <n v="0"/>
    <m/>
    <m/>
  </r>
  <r>
    <x v="7"/>
    <s v="University of Maryland University College"/>
    <m/>
    <n v="163204"/>
    <x v="11"/>
    <n v="793333"/>
    <n v="822432"/>
    <n v="0"/>
    <n v="0"/>
    <n v="44921"/>
    <n v="41711"/>
    <n v="748412"/>
    <n v="0"/>
    <m/>
    <n v="780721"/>
    <n v="0"/>
    <m/>
    <m/>
    <m/>
    <n v="205005"/>
    <n v="208981"/>
    <n v="0"/>
    <n v="0"/>
    <n v="288"/>
    <n v="1686"/>
    <n v="204717"/>
    <n v="0"/>
    <m/>
    <n v="207295"/>
    <n v="0"/>
    <n v="0"/>
    <m/>
    <m/>
  </r>
  <r>
    <x v="7"/>
    <s v="University of Maryland, Baltimore"/>
    <m/>
    <n v="163259"/>
    <x v="11"/>
    <n v="22683"/>
    <n v="22887"/>
    <n v="11428.5"/>
    <n v="11558"/>
    <n v="7076"/>
    <n v="7556.5"/>
    <n v="4178.5"/>
    <n v="0"/>
    <m/>
    <n v="3764"/>
    <n v="8.5"/>
    <m/>
    <m/>
    <m/>
    <n v="50170"/>
    <n v="52610"/>
    <n v="27127"/>
    <n v="26866"/>
    <n v="7115"/>
    <n v="7836"/>
    <n v="15807"/>
    <n v="121"/>
    <m/>
    <n v="17559"/>
    <n v="349"/>
    <n v="0"/>
    <m/>
    <m/>
  </r>
  <r>
    <x v="8"/>
    <s v="Mississippi State University"/>
    <m/>
    <n v="176080"/>
    <x v="0"/>
    <n v="513921"/>
    <n v="523164"/>
    <n v="470636"/>
    <n v="476961"/>
    <n v="10723"/>
    <n v="9739"/>
    <n v="32413"/>
    <n v="147"/>
    <m/>
    <n v="35692"/>
    <n v="766"/>
    <n v="6"/>
    <n v="2"/>
    <m/>
    <n v="55256"/>
    <n v="54777"/>
    <n v="39557"/>
    <n v="38261"/>
    <n v="1516"/>
    <n v="1970"/>
    <n v="13752"/>
    <n v="413"/>
    <m/>
    <n v="14119"/>
    <n v="427"/>
    <m/>
    <n v="18"/>
    <m/>
  </r>
  <r>
    <x v="8"/>
    <s v="University of Mississippi"/>
    <m/>
    <n v="176017"/>
    <x v="0"/>
    <n v="565459"/>
    <n v="553585"/>
    <n v="466806"/>
    <n v="440627"/>
    <n v="35887"/>
    <n v="31637"/>
    <n v="48966"/>
    <n v="11193"/>
    <m/>
    <n v="66554"/>
    <n v="10374"/>
    <m/>
    <n v="2607"/>
    <n v="4393"/>
    <n v="66244"/>
    <n v="67783"/>
    <n v="57755"/>
    <n v="59273"/>
    <n v="954"/>
    <n v="1230"/>
    <n v="6758"/>
    <n v="753"/>
    <m/>
    <n v="6707"/>
    <n v="564"/>
    <m/>
    <n v="24"/>
    <n v="9"/>
  </r>
  <r>
    <x v="8"/>
    <s v="University of Southern Mississippi"/>
    <m/>
    <n v="176372"/>
    <x v="0"/>
    <n v="326683"/>
    <n v="332678"/>
    <n v="208669"/>
    <n v="209439"/>
    <n v="29740"/>
    <n v="26125"/>
    <n v="82614"/>
    <n v="5660"/>
    <m/>
    <n v="94435"/>
    <n v="2679"/>
    <m/>
    <m/>
    <m/>
    <n v="51846"/>
    <n v="51229"/>
    <n v="29570"/>
    <n v="27400"/>
    <n v="4467"/>
    <n v="3733"/>
    <n v="16896"/>
    <n v="841"/>
    <m/>
    <n v="19172"/>
    <n v="877"/>
    <m/>
    <n v="72"/>
    <n v="47"/>
  </r>
  <r>
    <x v="8"/>
    <s v="Jackson State University "/>
    <m/>
    <n v="175856"/>
    <x v="1"/>
    <n v="160290"/>
    <n v="151243"/>
    <n v="111456"/>
    <n v="102015"/>
    <n v="3577"/>
    <n v="2493"/>
    <n v="45257"/>
    <m/>
    <m/>
    <n v="46735"/>
    <m/>
    <m/>
    <m/>
    <m/>
    <n v="31757"/>
    <n v="29347"/>
    <n v="11115"/>
    <n v="9772"/>
    <n v="6525"/>
    <n v="5402"/>
    <n v="14117"/>
    <m/>
    <m/>
    <n v="14173"/>
    <m/>
    <m/>
    <m/>
    <m/>
  </r>
  <r>
    <x v="8"/>
    <s v="Alcorn State University"/>
    <m/>
    <n v="175342"/>
    <x v="3"/>
    <n v="89132"/>
    <n v="94590"/>
    <n v="62316"/>
    <n v="62426"/>
    <n v="2778"/>
    <n v="1889"/>
    <n v="24038"/>
    <m/>
    <m/>
    <n v="30275"/>
    <m/>
    <m/>
    <m/>
    <m/>
    <n v="9500"/>
    <n v="8396"/>
    <n v="2078"/>
    <n v="1680"/>
    <n v="87"/>
    <n v="78"/>
    <n v="7335"/>
    <m/>
    <m/>
    <n v="6638"/>
    <m/>
    <m/>
    <m/>
    <m/>
  </r>
  <r>
    <x v="8"/>
    <s v="Delta State University"/>
    <m/>
    <n v="175616"/>
    <x v="3"/>
    <n v="72849"/>
    <n v="73075"/>
    <n v="55089"/>
    <n v="52305"/>
    <n v="3737"/>
    <n v="6017"/>
    <n v="14023"/>
    <m/>
    <m/>
    <n v="14741"/>
    <m/>
    <n v="12"/>
    <m/>
    <m/>
    <n v="22657"/>
    <n v="21387"/>
    <n v="3272"/>
    <n v="2780"/>
    <m/>
    <n v="0"/>
    <n v="19355"/>
    <m/>
    <n v="30"/>
    <n v="18580"/>
    <m/>
    <n v="27"/>
    <m/>
    <m/>
  </r>
  <r>
    <x v="8"/>
    <s v="Mississippi Valley State University"/>
    <m/>
    <n v="176044"/>
    <x v="3"/>
    <n v="52906"/>
    <n v="51043"/>
    <n v="39897"/>
    <n v="41513"/>
    <n v="477"/>
    <n v="270"/>
    <n v="11749"/>
    <m/>
    <m/>
    <n v="8366"/>
    <m/>
    <m/>
    <n v="783"/>
    <n v="894"/>
    <n v="6695"/>
    <n v="5771"/>
    <n v="2607"/>
    <n v="2636"/>
    <n v="96"/>
    <n v="0"/>
    <n v="3938"/>
    <m/>
    <m/>
    <n v="3054"/>
    <m/>
    <m/>
    <n v="54"/>
    <n v="81"/>
  </r>
  <r>
    <x v="8"/>
    <s v="Mississippi University for Women"/>
    <s v="Met the criteria for Four-Year 4 in 2017-18 and 2018-19."/>
    <n v="176035"/>
    <x v="4"/>
    <n v="71874"/>
    <n v="70436"/>
    <n v="34783"/>
    <n v="33297"/>
    <n v="107"/>
    <n v="168"/>
    <n v="36984"/>
    <m/>
    <m/>
    <n v="36971"/>
    <m/>
    <m/>
    <m/>
    <m/>
    <n v="4648"/>
    <n v="4376"/>
    <n v="2502"/>
    <n v="2484"/>
    <n v="561"/>
    <n v="192"/>
    <n v="1585"/>
    <m/>
    <m/>
    <n v="1700"/>
    <m/>
    <m/>
    <m/>
    <m/>
  </r>
  <r>
    <x v="8"/>
    <s v="Hinds Community College "/>
    <m/>
    <n v="175786"/>
    <x v="6"/>
    <n v="290976"/>
    <n v="291212"/>
    <n v="217813"/>
    <n v="208823"/>
    <n v="13134"/>
    <n v="16248"/>
    <n v="60029"/>
    <m/>
    <m/>
    <n v="66141"/>
    <m/>
    <m/>
    <m/>
    <m/>
    <n v="0"/>
    <n v="0"/>
    <m/>
    <m/>
    <m/>
    <m/>
    <m/>
    <m/>
    <m/>
    <m/>
    <m/>
    <m/>
    <m/>
    <m/>
  </r>
  <r>
    <x v="8"/>
    <s v="Holmes Community College "/>
    <m/>
    <n v="175810"/>
    <x v="6"/>
    <n v="161853"/>
    <n v="159656"/>
    <n v="95861"/>
    <n v="91344"/>
    <n v="6275"/>
    <n v="6092"/>
    <n v="59717"/>
    <m/>
    <m/>
    <n v="62220"/>
    <m/>
    <m/>
    <m/>
    <m/>
    <n v="0"/>
    <n v="0"/>
    <m/>
    <m/>
    <m/>
    <m/>
    <m/>
    <m/>
    <m/>
    <m/>
    <m/>
    <m/>
    <m/>
    <m/>
  </r>
  <r>
    <x v="8"/>
    <s v="Itawamba Community College "/>
    <s v="Met the criteria for Two-Year 2 in 2017-18 and 2018-19."/>
    <n v="175829"/>
    <x v="6"/>
    <n v="142164"/>
    <n v="139081"/>
    <n v="86061"/>
    <n v="85041"/>
    <n v="4986"/>
    <n v="4532"/>
    <n v="51117"/>
    <m/>
    <m/>
    <n v="49508"/>
    <m/>
    <m/>
    <m/>
    <m/>
    <n v="0"/>
    <n v="0"/>
    <m/>
    <m/>
    <m/>
    <m/>
    <m/>
    <m/>
    <m/>
    <m/>
    <m/>
    <m/>
    <m/>
    <m/>
  </r>
  <r>
    <x v="8"/>
    <s v="Mississippi Gulf Coast Community College "/>
    <m/>
    <n v="176071"/>
    <x v="6"/>
    <n v="229650"/>
    <n v="232689"/>
    <n v="154030"/>
    <n v="145924"/>
    <n v="8513"/>
    <n v="19835"/>
    <n v="67107"/>
    <m/>
    <m/>
    <n v="66930"/>
    <m/>
    <m/>
    <m/>
    <m/>
    <n v="0"/>
    <n v="0"/>
    <m/>
    <m/>
    <m/>
    <m/>
    <m/>
    <m/>
    <m/>
    <m/>
    <m/>
    <m/>
    <m/>
    <m/>
  </r>
  <r>
    <x v="8"/>
    <s v="Northwest Mississippi Community College "/>
    <m/>
    <n v="176178"/>
    <x v="6"/>
    <n v="195873"/>
    <n v="186760"/>
    <n v="153888"/>
    <n v="141544"/>
    <n v="0"/>
    <n v="5204"/>
    <n v="41985"/>
    <m/>
    <m/>
    <n v="40012"/>
    <m/>
    <m/>
    <m/>
    <m/>
    <n v="0"/>
    <n v="0"/>
    <m/>
    <m/>
    <m/>
    <m/>
    <m/>
    <m/>
    <m/>
    <m/>
    <m/>
    <m/>
    <m/>
    <m/>
  </r>
  <r>
    <x v="8"/>
    <s v="Copiah-Lincoln Community College "/>
    <m/>
    <n v="175573"/>
    <x v="7"/>
    <n v="80632"/>
    <n v="79307"/>
    <n v="49820"/>
    <n v="48132"/>
    <n v="5330"/>
    <n v="4137"/>
    <n v="25482"/>
    <m/>
    <m/>
    <n v="27038"/>
    <m/>
    <m/>
    <m/>
    <m/>
    <n v="0"/>
    <n v="0"/>
    <m/>
    <m/>
    <m/>
    <m/>
    <m/>
    <m/>
    <m/>
    <m/>
    <m/>
    <m/>
    <m/>
    <m/>
  </r>
  <r>
    <x v="8"/>
    <s v="East Central Community College "/>
    <m/>
    <n v="175643"/>
    <x v="7"/>
    <n v="68978"/>
    <n v="70571"/>
    <n v="46624"/>
    <n v="44527"/>
    <n v="3387"/>
    <n v="4672"/>
    <n v="18967"/>
    <m/>
    <m/>
    <n v="21372"/>
    <m/>
    <m/>
    <m/>
    <m/>
    <n v="0"/>
    <n v="0"/>
    <m/>
    <m/>
    <m/>
    <m/>
    <m/>
    <m/>
    <m/>
    <m/>
    <m/>
    <m/>
    <m/>
    <m/>
  </r>
  <r>
    <x v="8"/>
    <s v="East Mississippi Community College "/>
    <m/>
    <n v="175652"/>
    <x v="7"/>
    <n v="109962"/>
    <n v="105233"/>
    <n v="71747"/>
    <n v="69637"/>
    <n v="2277"/>
    <n v="2101"/>
    <n v="35938"/>
    <m/>
    <m/>
    <n v="33495"/>
    <m/>
    <m/>
    <m/>
    <m/>
    <n v="0"/>
    <n v="0"/>
    <m/>
    <m/>
    <m/>
    <m/>
    <m/>
    <m/>
    <m/>
    <m/>
    <m/>
    <m/>
    <m/>
    <m/>
  </r>
  <r>
    <x v="8"/>
    <s v="Jones County Junior College "/>
    <m/>
    <n v="175883"/>
    <x v="7"/>
    <n v="132964"/>
    <n v="126908"/>
    <n v="104744"/>
    <n v="98377"/>
    <n v="0"/>
    <n v="0"/>
    <n v="28220"/>
    <m/>
    <m/>
    <n v="28531"/>
    <m/>
    <m/>
    <m/>
    <m/>
    <n v="0"/>
    <n v="0"/>
    <m/>
    <m/>
    <m/>
    <m/>
    <m/>
    <m/>
    <m/>
    <m/>
    <m/>
    <m/>
    <m/>
    <m/>
  </r>
  <r>
    <x v="8"/>
    <s v="Meridian Community College "/>
    <m/>
    <n v="175935"/>
    <x v="7"/>
    <n v="92654"/>
    <n v="88357"/>
    <n v="70070"/>
    <n v="67885"/>
    <n v="684"/>
    <n v="1230"/>
    <n v="21900"/>
    <m/>
    <m/>
    <n v="19242"/>
    <m/>
    <m/>
    <m/>
    <m/>
    <n v="0"/>
    <n v="0"/>
    <m/>
    <m/>
    <m/>
    <m/>
    <m/>
    <m/>
    <m/>
    <m/>
    <m/>
    <m/>
    <m/>
    <m/>
  </r>
  <r>
    <x v="8"/>
    <s v="Mississippi Delta Community College "/>
    <m/>
    <n v="176008"/>
    <x v="7"/>
    <n v="63672"/>
    <n v="63837"/>
    <n v="47638"/>
    <n v="46100"/>
    <n v="6204"/>
    <n v="5814"/>
    <n v="9830"/>
    <m/>
    <m/>
    <n v="11923"/>
    <m/>
    <m/>
    <m/>
    <m/>
    <n v="0"/>
    <n v="0"/>
    <m/>
    <m/>
    <m/>
    <m/>
    <m/>
    <m/>
    <m/>
    <m/>
    <m/>
    <m/>
    <m/>
    <m/>
  </r>
  <r>
    <x v="8"/>
    <s v="Northeast Mississippi Community College "/>
    <m/>
    <n v="176169"/>
    <x v="7"/>
    <n v="91120"/>
    <n v="91958"/>
    <n v="69040"/>
    <n v="65657"/>
    <n v="0"/>
    <n v="0"/>
    <n v="22080"/>
    <m/>
    <m/>
    <n v="26301"/>
    <m/>
    <m/>
    <m/>
    <m/>
    <n v="0"/>
    <n v="0"/>
    <m/>
    <m/>
    <m/>
    <m/>
    <m/>
    <m/>
    <m/>
    <m/>
    <m/>
    <m/>
    <m/>
    <m/>
  </r>
  <r>
    <x v="8"/>
    <s v="Pearl River Community College "/>
    <m/>
    <n v="176239"/>
    <x v="7"/>
    <n v="120448"/>
    <n v="126640"/>
    <n v="91945"/>
    <n v="93459"/>
    <n v="3613"/>
    <n v="3402"/>
    <n v="24890"/>
    <m/>
    <m/>
    <n v="29779"/>
    <m/>
    <m/>
    <m/>
    <m/>
    <n v="0"/>
    <n v="0"/>
    <m/>
    <m/>
    <m/>
    <m/>
    <m/>
    <m/>
    <m/>
    <m/>
    <m/>
    <m/>
    <m/>
    <m/>
  </r>
  <r>
    <x v="8"/>
    <s v="Coahoma Community College "/>
    <m/>
    <n v="175519"/>
    <x v="8"/>
    <n v="51011"/>
    <n v="49683"/>
    <n v="42002"/>
    <n v="38426"/>
    <n v="888"/>
    <n v="380"/>
    <n v="8121"/>
    <m/>
    <m/>
    <n v="10877"/>
    <m/>
    <m/>
    <m/>
    <m/>
    <n v="0"/>
    <n v="0"/>
    <m/>
    <m/>
    <m/>
    <m/>
    <m/>
    <m/>
    <m/>
    <m/>
    <m/>
    <m/>
    <m/>
    <m/>
  </r>
  <r>
    <x v="8"/>
    <s v="Southwest Mississippi Community College"/>
    <m/>
    <n v="176354"/>
    <x v="8"/>
    <n v="54536"/>
    <n v="55751"/>
    <n v="42986"/>
    <n v="40822"/>
    <n v="0"/>
    <n v="0"/>
    <n v="11550"/>
    <m/>
    <m/>
    <n v="14929"/>
    <m/>
    <m/>
    <m/>
    <m/>
    <n v="0"/>
    <n v="0"/>
    <m/>
    <m/>
    <m/>
    <m/>
    <m/>
    <m/>
    <m/>
    <m/>
    <m/>
    <m/>
    <m/>
    <m/>
  </r>
  <r>
    <x v="9"/>
    <s v="North Carolina State University "/>
    <m/>
    <n v="199193"/>
    <x v="0"/>
    <n v="681219"/>
    <n v="710963"/>
    <n v="573441"/>
    <n v="588781"/>
    <n v="2935"/>
    <n v="8711"/>
    <n v="101593"/>
    <n v="0"/>
    <n v="3250"/>
    <n v="113471"/>
    <n v="0"/>
    <n v="0"/>
    <m/>
    <m/>
    <n v="157466"/>
    <n v="174078"/>
    <n v="118667"/>
    <n v="135087"/>
    <n v="5868"/>
    <n v="5255"/>
    <n v="30091"/>
    <n v="0"/>
    <n v="2840"/>
    <n v="33736"/>
    <n v="0"/>
    <n v="0"/>
    <m/>
    <m/>
  </r>
  <r>
    <x v="9"/>
    <s v="University of North Carolina at Chapel Hill "/>
    <m/>
    <n v="199120"/>
    <x v="0"/>
    <n v="521127"/>
    <n v="542556"/>
    <n v="503977"/>
    <n v="517394"/>
    <n v="0"/>
    <n v="4931"/>
    <n v="17123"/>
    <n v="27"/>
    <n v="0"/>
    <n v="20231"/>
    <n v="0"/>
    <n v="0"/>
    <m/>
    <m/>
    <n v="177975"/>
    <n v="203046"/>
    <n v="150369"/>
    <n v="174497"/>
    <n v="2603"/>
    <n v="1771"/>
    <n v="24930"/>
    <n v="73"/>
    <n v="0"/>
    <n v="26697"/>
    <n v="81"/>
    <n v="0"/>
    <m/>
    <m/>
  </r>
  <r>
    <x v="9"/>
    <s v="University of North Carolina at Charlotte"/>
    <m/>
    <n v="199139"/>
    <x v="0"/>
    <n v="670251"/>
    <n v="678454"/>
    <n v="582066"/>
    <n v="583871"/>
    <n v="0"/>
    <n v="0"/>
    <n v="87968"/>
    <n v="217"/>
    <n v="0"/>
    <n v="94485"/>
    <n v="98"/>
    <n v="0"/>
    <m/>
    <m/>
    <n v="88093"/>
    <n v="86480"/>
    <n v="70777"/>
    <n v="68247"/>
    <n v="0"/>
    <n v="0"/>
    <n v="17271"/>
    <n v="45"/>
    <n v="0"/>
    <n v="18215"/>
    <n v="18"/>
    <n v="0"/>
    <m/>
    <m/>
  </r>
  <r>
    <x v="9"/>
    <s v="University of North Carolina at Greensboro"/>
    <m/>
    <n v="199148"/>
    <x v="0"/>
    <n v="453649"/>
    <n v="465845"/>
    <n v="350829"/>
    <n v="343758"/>
    <n v="0"/>
    <n v="8276"/>
    <n v="102820"/>
    <n v="0"/>
    <n v="0"/>
    <n v="113739"/>
    <n v="0"/>
    <n v="72"/>
    <m/>
    <m/>
    <n v="59391"/>
    <n v="60459"/>
    <n v="42911"/>
    <n v="38983"/>
    <n v="15"/>
    <n v="2845"/>
    <n v="16465"/>
    <n v="0"/>
    <n v="0"/>
    <n v="18604"/>
    <n v="27"/>
    <n v="0"/>
    <m/>
    <m/>
  </r>
  <r>
    <x v="9"/>
    <s v="East Carolina University "/>
    <m/>
    <n v="198464"/>
    <x v="1"/>
    <n v="636129"/>
    <n v="654760"/>
    <n v="506194"/>
    <n v="509594"/>
    <n v="2446"/>
    <n v="4632"/>
    <n v="127381"/>
    <n v="108"/>
    <n v="0"/>
    <n v="140345"/>
    <n v="189"/>
    <n v="0"/>
    <m/>
    <m/>
    <n v="83269"/>
    <n v="90063"/>
    <n v="34419"/>
    <n v="33630"/>
    <n v="3856"/>
    <n v="1424"/>
    <n v="44867"/>
    <n v="127"/>
    <n v="0"/>
    <n v="55003"/>
    <n v="6"/>
    <n v="0"/>
    <m/>
    <m/>
  </r>
  <r>
    <x v="9"/>
    <s v="Appalachian State University "/>
    <m/>
    <n v="197869"/>
    <x v="2"/>
    <n v="511381"/>
    <n v="521514"/>
    <n v="466535"/>
    <n v="469391"/>
    <n v="3071"/>
    <n v="2717"/>
    <n v="41775"/>
    <n v="0"/>
    <n v="0"/>
    <n v="49406"/>
    <n v="0"/>
    <n v="0"/>
    <m/>
    <m/>
    <n v="34048"/>
    <n v="33844"/>
    <n v="23709"/>
    <n v="22430"/>
    <n v="660"/>
    <n v="847"/>
    <n v="9679"/>
    <n v="0"/>
    <n v="0"/>
    <n v="10567"/>
    <n v="0"/>
    <n v="0"/>
    <m/>
    <m/>
  </r>
  <r>
    <x v="9"/>
    <s v="North Carolina A&amp;T State University"/>
    <m/>
    <n v="199102"/>
    <x v="2"/>
    <n v="285632"/>
    <n v="299251"/>
    <n v="247825"/>
    <n v="256702"/>
    <n v="552"/>
    <n v="474"/>
    <n v="37255"/>
    <n v="0"/>
    <n v="0"/>
    <n v="42075"/>
    <n v="0"/>
    <n v="0"/>
    <m/>
    <m/>
    <n v="25598"/>
    <n v="25362"/>
    <n v="18860"/>
    <n v="17462"/>
    <n v="64"/>
    <n v="718"/>
    <n v="6617"/>
    <n v="57"/>
    <n v="0"/>
    <n v="7182"/>
    <n v="0"/>
    <n v="0"/>
    <m/>
    <m/>
  </r>
  <r>
    <x v="9"/>
    <s v="North Carolina Central University "/>
    <m/>
    <n v="199157"/>
    <x v="2"/>
    <n v="181104"/>
    <n v="184226"/>
    <n v="144699"/>
    <n v="143625"/>
    <n v="227"/>
    <n v="266"/>
    <n v="36178"/>
    <n v="0"/>
    <n v="0"/>
    <n v="40335"/>
    <n v="0"/>
    <n v="0"/>
    <m/>
    <m/>
    <n v="38048"/>
    <n v="36971"/>
    <n v="28596"/>
    <n v="26753"/>
    <n v="4"/>
    <n v="9"/>
    <n v="9448"/>
    <n v="0"/>
    <n v="0"/>
    <n v="10209"/>
    <n v="0"/>
    <n v="0"/>
    <m/>
    <m/>
  </r>
  <r>
    <x v="9"/>
    <s v="University of North Carolina at Wilmington"/>
    <m/>
    <n v="199218"/>
    <x v="2"/>
    <n v="415399"/>
    <n v="411212"/>
    <n v="316373"/>
    <n v="302455"/>
    <n v="5475"/>
    <n v="4323"/>
    <n v="93435"/>
    <n v="116"/>
    <n v="0"/>
    <n v="104239"/>
    <n v="195"/>
    <n v="0"/>
    <m/>
    <m/>
    <n v="31197"/>
    <n v="36035"/>
    <n v="13917"/>
    <n v="15519"/>
    <n v="1281"/>
    <n v="504"/>
    <n v="15900"/>
    <n v="99"/>
    <n v="0"/>
    <n v="19976"/>
    <n v="36"/>
    <n v="0"/>
    <m/>
    <m/>
  </r>
  <r>
    <x v="9"/>
    <s v="Western Carolina University "/>
    <m/>
    <n v="200004"/>
    <x v="2"/>
    <n v="260240"/>
    <n v="273040"/>
    <n v="217013"/>
    <n v="224300"/>
    <n v="4093"/>
    <n v="3285"/>
    <n v="39062"/>
    <n v="72"/>
    <n v="0"/>
    <n v="45443"/>
    <n v="12"/>
    <n v="0"/>
    <m/>
    <m/>
    <n v="31376"/>
    <n v="31370"/>
    <n v="10187"/>
    <n v="10282"/>
    <n v="7462"/>
    <n v="7318"/>
    <n v="13727"/>
    <n v="0"/>
    <n v="0"/>
    <n v="13770"/>
    <n v="0"/>
    <n v="0"/>
    <m/>
    <m/>
  </r>
  <r>
    <x v="9"/>
    <s v="Fayetteville State University "/>
    <m/>
    <n v="198543"/>
    <x v="3"/>
    <n v="142028"/>
    <n v="145496"/>
    <n v="93800"/>
    <n v="88239"/>
    <n v="944"/>
    <n v="896"/>
    <n v="47284"/>
    <n v="0"/>
    <n v="0"/>
    <n v="56361"/>
    <n v="0"/>
    <n v="0"/>
    <m/>
    <m/>
    <n v="15133"/>
    <n v="14498"/>
    <n v="5994"/>
    <n v="4987"/>
    <n v="1287"/>
    <n v="178"/>
    <n v="7852"/>
    <n v="0"/>
    <n v="0"/>
    <n v="9333"/>
    <n v="0"/>
    <n v="0"/>
    <m/>
    <m/>
  </r>
  <r>
    <x v="9"/>
    <s v="University of North Carolina at Pembroke"/>
    <m/>
    <n v="199281"/>
    <x v="4"/>
    <n v="148798"/>
    <n v="157525"/>
    <n v="108303"/>
    <n v="108847"/>
    <n v="1416"/>
    <n v="1065"/>
    <n v="38629"/>
    <n v="450"/>
    <n v="0"/>
    <n v="47294"/>
    <n v="319"/>
    <n v="0"/>
    <m/>
    <m/>
    <n v="12210"/>
    <n v="16342"/>
    <n v="5384"/>
    <n v="5668"/>
    <n v="964"/>
    <n v="765"/>
    <n v="5769"/>
    <n v="93"/>
    <n v="0"/>
    <n v="9909"/>
    <n v="0"/>
    <n v="0"/>
    <m/>
    <m/>
  </r>
  <r>
    <x v="9"/>
    <s v="Winston-Salem State University "/>
    <m/>
    <n v="199999"/>
    <x v="4"/>
    <n v="130938"/>
    <n v="134963"/>
    <n v="103842"/>
    <n v="106798"/>
    <n v="154"/>
    <n v="14"/>
    <n v="15636"/>
    <n v="0"/>
    <n v="11306"/>
    <n v="17248"/>
    <n v="0"/>
    <n v="10903"/>
    <m/>
    <m/>
    <n v="10299"/>
    <n v="10437"/>
    <n v="6116"/>
    <n v="6228"/>
    <n v="243"/>
    <n v="84"/>
    <n v="2315"/>
    <n v="0"/>
    <n v="1625"/>
    <n v="2461"/>
    <n v="0"/>
    <n v="1664"/>
    <m/>
    <m/>
  </r>
  <r>
    <x v="9"/>
    <s v="Elizabeth City State University "/>
    <m/>
    <n v="198507"/>
    <x v="5"/>
    <n v="36807"/>
    <n v="41216"/>
    <n v="31183"/>
    <n v="34062"/>
    <n v="80"/>
    <n v="100"/>
    <n v="5373"/>
    <n v="171"/>
    <n v="0"/>
    <n v="6877"/>
    <n v="177"/>
    <n v="0"/>
    <m/>
    <m/>
    <n v="743"/>
    <n v="653"/>
    <n v="632"/>
    <n v="509"/>
    <n v="0"/>
    <n v="0"/>
    <n v="111"/>
    <n v="0"/>
    <n v="0"/>
    <n v="144"/>
    <n v="0"/>
    <n v="0"/>
    <m/>
    <m/>
  </r>
  <r>
    <x v="9"/>
    <s v="University of North Carolina School of the Arts"/>
    <m/>
    <n v="199184"/>
    <x v="11"/>
    <m/>
    <m/>
    <m/>
    <n v="26953"/>
    <m/>
    <n v="0"/>
    <m/>
    <m/>
    <m/>
    <n v="849"/>
    <n v="0"/>
    <n v="0"/>
    <m/>
    <m/>
    <m/>
    <m/>
    <m/>
    <n v="3726"/>
    <m/>
    <n v="0"/>
    <m/>
    <m/>
    <m/>
    <n v="0"/>
    <n v="0"/>
    <n v="0"/>
    <m/>
    <m/>
  </r>
  <r>
    <x v="9"/>
    <s v="University of North Carolina at Asheville"/>
    <m/>
    <n v="199111"/>
    <x v="5"/>
    <n v="103254"/>
    <n v="102105"/>
    <n v="99072"/>
    <n v="98279"/>
    <n v="864"/>
    <n v="402"/>
    <n v="808"/>
    <n v="2510"/>
    <n v="0"/>
    <n v="884"/>
    <n v="2540"/>
    <n v="0"/>
    <m/>
    <m/>
    <n v="278"/>
    <n v="229"/>
    <n v="269"/>
    <n v="229"/>
    <n v="0"/>
    <n v="0"/>
    <n v="9"/>
    <n v="0"/>
    <n v="0"/>
    <n v="0"/>
    <n v="0"/>
    <n v="0"/>
    <m/>
    <m/>
  </r>
  <r>
    <x v="9"/>
    <s v="Asheville-Buncombe Technical Community College"/>
    <m/>
    <n v="197887"/>
    <x v="6"/>
    <n v="138460"/>
    <n v="134652"/>
    <n v="87229"/>
    <n v="77613"/>
    <n v="9263"/>
    <n v="9482"/>
    <n v="40452"/>
    <n v="1516"/>
    <n v="0"/>
    <n v="45949"/>
    <n v="1608"/>
    <n v="0"/>
    <m/>
    <m/>
    <n v="0"/>
    <n v="0"/>
    <m/>
    <m/>
    <m/>
    <m/>
    <m/>
    <m/>
    <m/>
    <m/>
    <m/>
    <m/>
    <m/>
    <m/>
  </r>
  <r>
    <x v="9"/>
    <s v="Cape Fear Community College"/>
    <m/>
    <n v="198154"/>
    <x v="6"/>
    <n v="184087"/>
    <n v="180547"/>
    <n v="106050"/>
    <n v="99943"/>
    <n v="313"/>
    <n v="402"/>
    <n v="77724"/>
    <n v="0"/>
    <n v="0"/>
    <n v="80202"/>
    <n v="0"/>
    <n v="0"/>
    <m/>
    <m/>
    <n v="0"/>
    <n v="0"/>
    <m/>
    <m/>
    <m/>
    <m/>
    <m/>
    <m/>
    <m/>
    <m/>
    <m/>
    <m/>
    <m/>
    <m/>
  </r>
  <r>
    <x v="9"/>
    <s v="Central Piedmont Community College "/>
    <m/>
    <n v="198260"/>
    <x v="6"/>
    <n v="400937.1"/>
    <n v="398707"/>
    <n v="244159.1"/>
    <n v="231467"/>
    <n v="10557"/>
    <n v="12609"/>
    <n v="146207"/>
    <n v="0"/>
    <n v="14"/>
    <n v="154631"/>
    <n v="0"/>
    <n v="0"/>
    <m/>
    <m/>
    <n v="0"/>
    <n v="0"/>
    <m/>
    <m/>
    <m/>
    <m/>
    <m/>
    <m/>
    <m/>
    <m/>
    <m/>
    <m/>
    <m/>
    <m/>
  </r>
  <r>
    <x v="9"/>
    <s v="Fayetteville Technical Community College"/>
    <m/>
    <n v="198534"/>
    <x v="6"/>
    <n v="248161"/>
    <n v="246044"/>
    <n v="103134"/>
    <n v="98321"/>
    <n v="4014"/>
    <n v="2346"/>
    <n v="140941"/>
    <n v="72"/>
    <n v="0"/>
    <n v="145332"/>
    <n v="45"/>
    <n v="0"/>
    <m/>
    <m/>
    <n v="0"/>
    <n v="0"/>
    <m/>
    <m/>
    <m/>
    <m/>
    <m/>
    <m/>
    <m/>
    <m/>
    <m/>
    <m/>
    <m/>
    <m/>
  </r>
  <r>
    <x v="9"/>
    <s v="Forsyth Technical Community College"/>
    <m/>
    <n v="198552"/>
    <x v="6"/>
    <n v="161483"/>
    <n v="162956"/>
    <n v="100364"/>
    <n v="96388"/>
    <n v="5701"/>
    <n v="6008"/>
    <n v="54855"/>
    <n v="563"/>
    <n v="0"/>
    <n v="60226"/>
    <n v="334"/>
    <n v="0"/>
    <m/>
    <m/>
    <n v="0"/>
    <n v="0"/>
    <m/>
    <m/>
    <m/>
    <m/>
    <m/>
    <m/>
    <m/>
    <m/>
    <m/>
    <m/>
    <m/>
    <m/>
  </r>
  <r>
    <x v="9"/>
    <s v="Guilford Technical Community College"/>
    <m/>
    <n v="198622"/>
    <x v="6"/>
    <n v="217974.5"/>
    <n v="215073"/>
    <n v="135833.5"/>
    <n v="131697"/>
    <n v="3520"/>
    <n v="4396"/>
    <n v="78621"/>
    <n v="0"/>
    <n v="0"/>
    <n v="78980"/>
    <n v="0"/>
    <n v="0"/>
    <m/>
    <m/>
    <n v="0"/>
    <n v="0"/>
    <m/>
    <m/>
    <m/>
    <m/>
    <m/>
    <m/>
    <m/>
    <m/>
    <m/>
    <m/>
    <m/>
    <m/>
  </r>
  <r>
    <x v="9"/>
    <s v="Pitt Community College"/>
    <m/>
    <n v="199333"/>
    <x v="6"/>
    <n v="174299"/>
    <n v="175132"/>
    <n v="73150"/>
    <n v="68556"/>
    <n v="9751"/>
    <n v="11917"/>
    <n v="91398"/>
    <n v="0"/>
    <n v="0"/>
    <n v="94515"/>
    <n v="144"/>
    <n v="0"/>
    <m/>
    <m/>
    <n v="0"/>
    <n v="0"/>
    <m/>
    <m/>
    <m/>
    <m/>
    <m/>
    <m/>
    <m/>
    <m/>
    <m/>
    <m/>
    <m/>
    <m/>
  </r>
  <r>
    <x v="9"/>
    <s v="Rowan-Cabarrus Community College"/>
    <m/>
    <n v="199494"/>
    <x v="6"/>
    <n v="115124"/>
    <n v="121306"/>
    <n v="54776"/>
    <n v="51264"/>
    <n v="6137"/>
    <n v="7184"/>
    <n v="54211"/>
    <n v="0"/>
    <n v="0"/>
    <n v="62858"/>
    <n v="0"/>
    <n v="0"/>
    <m/>
    <m/>
    <n v="0"/>
    <n v="0"/>
    <m/>
    <m/>
    <m/>
    <m/>
    <m/>
    <m/>
    <m/>
    <m/>
    <m/>
    <m/>
    <m/>
    <m/>
  </r>
  <r>
    <x v="9"/>
    <s v="Wake Technical Community College"/>
    <m/>
    <n v="199856"/>
    <x v="6"/>
    <n v="454331"/>
    <n v="450324"/>
    <n v="265774"/>
    <n v="247792"/>
    <n v="4652"/>
    <n v="4391"/>
    <n v="183905"/>
    <n v="0"/>
    <n v="0"/>
    <n v="198141"/>
    <n v="0"/>
    <n v="0"/>
    <m/>
    <m/>
    <n v="0"/>
    <n v="0"/>
    <m/>
    <m/>
    <m/>
    <m/>
    <m/>
    <m/>
    <m/>
    <m/>
    <m/>
    <m/>
    <m/>
    <m/>
  </r>
  <r>
    <x v="9"/>
    <s v="Alamance Community College"/>
    <m/>
    <n v="199786"/>
    <x v="7"/>
    <n v="85528"/>
    <n v="85227"/>
    <n v="51987"/>
    <n v="49639"/>
    <n v="4039"/>
    <n v="4592"/>
    <n v="29502"/>
    <n v="0"/>
    <n v="0"/>
    <n v="30996"/>
    <n v="0"/>
    <n v="0"/>
    <m/>
    <m/>
    <n v="0"/>
    <n v="0"/>
    <m/>
    <m/>
    <m/>
    <m/>
    <m/>
    <m/>
    <m/>
    <m/>
    <m/>
    <m/>
    <m/>
    <m/>
  </r>
  <r>
    <x v="9"/>
    <s v="Caldwell Community College &amp; Technical Institute"/>
    <m/>
    <n v="198118"/>
    <x v="7"/>
    <n v="68850"/>
    <n v="68976"/>
    <n v="29679"/>
    <n v="26268"/>
    <n v="2512"/>
    <n v="3371"/>
    <n v="31097"/>
    <n v="5562"/>
    <n v="0"/>
    <n v="34582"/>
    <n v="4755"/>
    <n v="0"/>
    <m/>
    <m/>
    <n v="0"/>
    <n v="0"/>
    <m/>
    <m/>
    <m/>
    <m/>
    <m/>
    <m/>
    <m/>
    <m/>
    <m/>
    <m/>
    <m/>
    <m/>
  </r>
  <r>
    <x v="9"/>
    <s v="Catawba Valley Community College"/>
    <m/>
    <n v="198233"/>
    <x v="7"/>
    <n v="96171"/>
    <n v="93701"/>
    <n v="41438"/>
    <n v="37918"/>
    <n v="2863"/>
    <n v="2306"/>
    <n v="51870"/>
    <n v="0"/>
    <n v="0"/>
    <n v="53477"/>
    <n v="0"/>
    <n v="0"/>
    <m/>
    <m/>
    <n v="0"/>
    <n v="0"/>
    <m/>
    <m/>
    <m/>
    <m/>
    <m/>
    <m/>
    <m/>
    <m/>
    <m/>
    <m/>
    <m/>
    <m/>
  </r>
  <r>
    <x v="9"/>
    <s v="Central Carolina Commuity College"/>
    <m/>
    <n v="198251"/>
    <x v="7"/>
    <n v="99762"/>
    <n v="97555"/>
    <n v="48193"/>
    <n v="44438"/>
    <n v="7017"/>
    <n v="7140"/>
    <n v="44552"/>
    <n v="0"/>
    <n v="0"/>
    <n v="45977"/>
    <n v="0"/>
    <n v="0"/>
    <m/>
    <m/>
    <n v="0"/>
    <n v="0"/>
    <m/>
    <m/>
    <m/>
    <m/>
    <m/>
    <m/>
    <m/>
    <m/>
    <m/>
    <m/>
    <m/>
    <m/>
  </r>
  <r>
    <x v="9"/>
    <s v="Cleveland Community College"/>
    <m/>
    <n v="198321"/>
    <x v="7"/>
    <n v="57333.5"/>
    <n v="53584"/>
    <n v="20061"/>
    <n v="17848"/>
    <n v="7581"/>
    <n v="7047"/>
    <n v="29591.5"/>
    <n v="100"/>
    <n v="0"/>
    <n v="28590"/>
    <n v="99"/>
    <n v="0"/>
    <m/>
    <m/>
    <n v="0"/>
    <n v="0"/>
    <m/>
    <m/>
    <m/>
    <m/>
    <m/>
    <m/>
    <m/>
    <m/>
    <m/>
    <m/>
    <m/>
    <m/>
  </r>
  <r>
    <x v="9"/>
    <s v="Coastal Carolina Community College "/>
    <m/>
    <n v="198330"/>
    <x v="7"/>
    <n v="87910"/>
    <n v="88909"/>
    <n v="57483"/>
    <n v="56697"/>
    <n v="4515"/>
    <n v="4092"/>
    <n v="25912"/>
    <n v="0"/>
    <n v="0"/>
    <n v="28120"/>
    <n v="0"/>
    <n v="0"/>
    <m/>
    <m/>
    <n v="0"/>
    <n v="0"/>
    <m/>
    <m/>
    <m/>
    <m/>
    <m/>
    <m/>
    <m/>
    <m/>
    <m/>
    <m/>
    <m/>
    <m/>
  </r>
  <r>
    <x v="9"/>
    <s v="Craven Community College "/>
    <m/>
    <n v="198367"/>
    <x v="7"/>
    <n v="62086"/>
    <n v="61332"/>
    <n v="29387"/>
    <n v="27923"/>
    <n v="479"/>
    <n v="801"/>
    <n v="32220"/>
    <n v="0"/>
    <n v="0"/>
    <n v="32608"/>
    <n v="0"/>
    <n v="0"/>
    <m/>
    <m/>
    <n v="0"/>
    <n v="0"/>
    <m/>
    <m/>
    <m/>
    <m/>
    <m/>
    <m/>
    <m/>
    <m/>
    <m/>
    <m/>
    <m/>
    <m/>
  </r>
  <r>
    <x v="9"/>
    <s v="Davidson County Community College "/>
    <m/>
    <n v="198376"/>
    <x v="7"/>
    <n v="73138"/>
    <n v="72728"/>
    <n v="26698"/>
    <n v="25351"/>
    <n v="853"/>
    <n v="708"/>
    <n v="45181"/>
    <n v="406"/>
    <n v="0"/>
    <n v="46300"/>
    <n v="369"/>
    <n v="0"/>
    <m/>
    <m/>
    <n v="0"/>
    <n v="0"/>
    <m/>
    <m/>
    <m/>
    <m/>
    <m/>
    <m/>
    <m/>
    <m/>
    <m/>
    <m/>
    <m/>
    <m/>
  </r>
  <r>
    <x v="9"/>
    <s v="Durham Technical Community College"/>
    <m/>
    <n v="198455"/>
    <x v="7"/>
    <n v="100486"/>
    <n v="100705"/>
    <n v="63415"/>
    <n v="61161"/>
    <n v="1034"/>
    <n v="1147"/>
    <n v="36037"/>
    <n v="0"/>
    <n v="0"/>
    <n v="38397"/>
    <n v="0"/>
    <n v="0"/>
    <m/>
    <m/>
    <n v="0"/>
    <n v="0"/>
    <m/>
    <m/>
    <m/>
    <m/>
    <m/>
    <m/>
    <m/>
    <m/>
    <m/>
    <m/>
    <m/>
    <m/>
  </r>
  <r>
    <x v="9"/>
    <s v="Edgecombe Community College"/>
    <s v="Reclassified: Met the criteria for Two-Year 3 in 2016-17, 2017-18, and 2018-19."/>
    <n v="198491"/>
    <x v="8"/>
    <n v="45823"/>
    <n v="43800"/>
    <n v="18207"/>
    <n v="15886"/>
    <n v="2470"/>
    <n v="2625"/>
    <n v="25146"/>
    <n v="0"/>
    <n v="0"/>
    <n v="25289"/>
    <n v="0"/>
    <n v="0"/>
    <m/>
    <m/>
    <n v="0"/>
    <n v="0"/>
    <m/>
    <m/>
    <m/>
    <m/>
    <m/>
    <m/>
    <m/>
    <m/>
    <m/>
    <m/>
    <m/>
    <m/>
  </r>
  <r>
    <x v="9"/>
    <s v="Gaston College "/>
    <m/>
    <n v="198570"/>
    <x v="7"/>
    <n v="106785"/>
    <n v="106557"/>
    <n v="54566"/>
    <n v="50349"/>
    <n v="1693"/>
    <n v="2051"/>
    <n v="49863"/>
    <n v="663"/>
    <n v="0"/>
    <n v="53902"/>
    <n v="255"/>
    <n v="0"/>
    <m/>
    <m/>
    <n v="0"/>
    <n v="0"/>
    <m/>
    <m/>
    <m/>
    <m/>
    <m/>
    <m/>
    <m/>
    <m/>
    <m/>
    <m/>
    <m/>
    <m/>
  </r>
  <r>
    <x v="9"/>
    <s v="Johnston Community College"/>
    <m/>
    <n v="198774"/>
    <x v="7"/>
    <n v="80727"/>
    <n v="80117"/>
    <n v="39803"/>
    <n v="37941"/>
    <n v="5283"/>
    <n v="4097"/>
    <n v="35343"/>
    <n v="298"/>
    <n v="0"/>
    <n v="37900"/>
    <n v="179"/>
    <n v="0"/>
    <m/>
    <m/>
    <n v="0"/>
    <n v="0"/>
    <m/>
    <m/>
    <m/>
    <m/>
    <m/>
    <m/>
    <m/>
    <m/>
    <m/>
    <m/>
    <m/>
    <m/>
  </r>
  <r>
    <x v="9"/>
    <s v="Lenoir Community College "/>
    <m/>
    <n v="198817"/>
    <x v="7"/>
    <n v="55035"/>
    <n v="54499"/>
    <n v="19859"/>
    <n v="19989"/>
    <n v="2732"/>
    <n v="3256"/>
    <n v="32444"/>
    <n v="0"/>
    <n v="0"/>
    <n v="31115"/>
    <n v="139"/>
    <n v="0"/>
    <m/>
    <m/>
    <n v="0"/>
    <n v="0"/>
    <m/>
    <m/>
    <m/>
    <m/>
    <m/>
    <m/>
    <m/>
    <m/>
    <m/>
    <m/>
    <m/>
    <m/>
  </r>
  <r>
    <x v="9"/>
    <s v="Mitchell Community College "/>
    <m/>
    <n v="198987"/>
    <x v="7"/>
    <n v="59758"/>
    <n v="57998"/>
    <n v="22270"/>
    <n v="21028"/>
    <n v="3057"/>
    <n v="2352"/>
    <n v="34431"/>
    <n v="0"/>
    <n v="0"/>
    <n v="34618"/>
    <n v="0"/>
    <n v="0"/>
    <m/>
    <m/>
    <n v="0"/>
    <n v="0"/>
    <m/>
    <m/>
    <m/>
    <m/>
    <m/>
    <m/>
    <m/>
    <m/>
    <m/>
    <m/>
    <m/>
    <m/>
  </r>
  <r>
    <x v="9"/>
    <s v="Nash Community College"/>
    <m/>
    <n v="199087"/>
    <x v="7"/>
    <n v="57389"/>
    <n v="60358"/>
    <n v="25029"/>
    <n v="24714"/>
    <n v="1397"/>
    <n v="3160"/>
    <n v="30963"/>
    <n v="0"/>
    <n v="0"/>
    <n v="32484"/>
    <n v="0"/>
    <n v="0"/>
    <m/>
    <m/>
    <n v="0"/>
    <n v="0"/>
    <m/>
    <m/>
    <m/>
    <m/>
    <m/>
    <m/>
    <m/>
    <m/>
    <m/>
    <m/>
    <m/>
    <m/>
  </r>
  <r>
    <x v="9"/>
    <s v="Randolph Community College"/>
    <m/>
    <n v="199421"/>
    <x v="7"/>
    <n v="55466"/>
    <n v="53994"/>
    <n v="26872"/>
    <n v="24208"/>
    <n v="1018"/>
    <n v="1548"/>
    <n v="27471"/>
    <n v="105"/>
    <n v="0"/>
    <n v="28055"/>
    <n v="183"/>
    <n v="0"/>
    <m/>
    <m/>
    <n v="0"/>
    <n v="0"/>
    <m/>
    <m/>
    <m/>
    <m/>
    <m/>
    <m/>
    <m/>
    <m/>
    <m/>
    <m/>
    <m/>
    <m/>
  </r>
  <r>
    <x v="9"/>
    <s v="Richmond Community College"/>
    <m/>
    <n v="199449"/>
    <x v="7"/>
    <n v="51616"/>
    <n v="51665"/>
    <n v="20591"/>
    <n v="18350"/>
    <n v="2253"/>
    <n v="1883"/>
    <n v="28772"/>
    <n v="0"/>
    <n v="0"/>
    <n v="31432"/>
    <n v="0"/>
    <n v="0"/>
    <m/>
    <m/>
    <n v="0"/>
    <n v="0"/>
    <m/>
    <m/>
    <m/>
    <m/>
    <m/>
    <m/>
    <m/>
    <m/>
    <m/>
    <m/>
    <m/>
    <m/>
  </r>
  <r>
    <x v="9"/>
    <s v="Robeson Community College"/>
    <s v="Reclassified: Met the criteria for Two-Year 3 in 2016-17, 2017-18, and 2018-19."/>
    <n v="199476"/>
    <x v="8"/>
    <n v="38784"/>
    <n v="37570"/>
    <n v="22119"/>
    <n v="20219"/>
    <n v="483"/>
    <n v="557"/>
    <n v="16182"/>
    <n v="0"/>
    <n v="0"/>
    <n v="16794"/>
    <n v="0"/>
    <n v="0"/>
    <m/>
    <m/>
    <n v="0"/>
    <n v="0"/>
    <m/>
    <m/>
    <m/>
    <m/>
    <m/>
    <m/>
    <m/>
    <m/>
    <m/>
    <m/>
    <m/>
    <m/>
  </r>
  <r>
    <x v="9"/>
    <s v="Sandhills Community College "/>
    <m/>
    <n v="199634"/>
    <x v="7"/>
    <n v="78557"/>
    <n v="82556"/>
    <n v="33537"/>
    <n v="34985"/>
    <n v="2994"/>
    <n v="2446"/>
    <n v="42026"/>
    <n v="0"/>
    <n v="0"/>
    <n v="45125"/>
    <n v="0"/>
    <n v="0"/>
    <m/>
    <m/>
    <n v="0"/>
    <n v="0"/>
    <m/>
    <m/>
    <m/>
    <m/>
    <m/>
    <m/>
    <m/>
    <m/>
    <m/>
    <m/>
    <m/>
    <m/>
  </r>
  <r>
    <x v="9"/>
    <s v="Stanly Community College"/>
    <m/>
    <n v="199740"/>
    <x v="7"/>
    <n v="50885"/>
    <n v="50354"/>
    <n v="13278"/>
    <n v="11263"/>
    <n v="3704"/>
    <n v="3657"/>
    <n v="33903"/>
    <n v="0"/>
    <n v="0"/>
    <n v="35434"/>
    <n v="0"/>
    <n v="0"/>
    <m/>
    <m/>
    <n v="0"/>
    <n v="0"/>
    <m/>
    <m/>
    <m/>
    <m/>
    <m/>
    <m/>
    <m/>
    <m/>
    <m/>
    <m/>
    <m/>
    <m/>
  </r>
  <r>
    <x v="9"/>
    <s v="Surry Community College "/>
    <m/>
    <n v="199768"/>
    <x v="7"/>
    <n v="51056"/>
    <n v="60747"/>
    <n v="30785"/>
    <n v="34830"/>
    <n v="613"/>
    <n v="608"/>
    <n v="19295"/>
    <n v="363"/>
    <n v="0"/>
    <n v="24737"/>
    <n v="572"/>
    <n v="0"/>
    <m/>
    <m/>
    <n v="0"/>
    <n v="0"/>
    <m/>
    <m/>
    <m/>
    <m/>
    <m/>
    <m/>
    <m/>
    <m/>
    <m/>
    <m/>
    <m/>
    <m/>
  </r>
  <r>
    <x v="9"/>
    <s v="Vance-Granville Community College "/>
    <m/>
    <n v="199838"/>
    <x v="7"/>
    <n v="58398"/>
    <n v="55711"/>
    <n v="26642"/>
    <n v="24474"/>
    <n v="1555"/>
    <n v="1260"/>
    <n v="29411"/>
    <n v="790"/>
    <n v="0"/>
    <n v="29364"/>
    <n v="613"/>
    <n v="0"/>
    <m/>
    <m/>
    <n v="0"/>
    <n v="0"/>
    <m/>
    <m/>
    <m/>
    <m/>
    <m/>
    <m/>
    <m/>
    <m/>
    <m/>
    <m/>
    <m/>
    <m/>
  </r>
  <r>
    <x v="9"/>
    <s v="Wayne Community College"/>
    <m/>
    <n v="199892"/>
    <x v="7"/>
    <n v="69911"/>
    <n v="71828"/>
    <n v="32695"/>
    <n v="31679"/>
    <n v="989"/>
    <n v="360"/>
    <n v="36227"/>
    <n v="0"/>
    <n v="0"/>
    <n v="39789"/>
    <n v="0"/>
    <n v="0"/>
    <m/>
    <m/>
    <n v="0"/>
    <n v="0"/>
    <m/>
    <m/>
    <m/>
    <m/>
    <m/>
    <m/>
    <m/>
    <m/>
    <m/>
    <m/>
    <m/>
    <m/>
  </r>
  <r>
    <x v="9"/>
    <s v="Wilkes Community College "/>
    <m/>
    <n v="199926"/>
    <x v="7"/>
    <n v="56620"/>
    <n v="55086"/>
    <n v="32809"/>
    <n v="30404"/>
    <n v="5579"/>
    <n v="5742"/>
    <n v="17040"/>
    <n v="1192"/>
    <n v="0"/>
    <n v="18700"/>
    <n v="240"/>
    <n v="0"/>
    <m/>
    <m/>
    <n v="0"/>
    <n v="0"/>
    <m/>
    <m/>
    <m/>
    <m/>
    <m/>
    <m/>
    <m/>
    <m/>
    <m/>
    <m/>
    <m/>
    <m/>
  </r>
  <r>
    <x v="9"/>
    <s v="Beaufort County Community College "/>
    <m/>
    <n v="197966"/>
    <x v="8"/>
    <n v="28162"/>
    <n v="28199"/>
    <n v="6919"/>
    <n v="9067"/>
    <n v="301"/>
    <n v="1318"/>
    <n v="18358"/>
    <n v="0"/>
    <n v="2584"/>
    <n v="17310"/>
    <n v="0"/>
    <n v="504"/>
    <m/>
    <m/>
    <n v="0"/>
    <n v="0"/>
    <m/>
    <m/>
    <m/>
    <m/>
    <m/>
    <m/>
    <m/>
    <m/>
    <m/>
    <m/>
    <m/>
    <m/>
  </r>
  <r>
    <x v="9"/>
    <s v="Bladen Community College"/>
    <m/>
    <n v="198011"/>
    <x v="8"/>
    <n v="24794"/>
    <n v="26414"/>
    <n v="9130"/>
    <n v="9902"/>
    <n v="764"/>
    <n v="440"/>
    <n v="13552"/>
    <n v="1321"/>
    <n v="27"/>
    <n v="14724"/>
    <n v="1348"/>
    <n v="0"/>
    <m/>
    <m/>
    <n v="0"/>
    <n v="0"/>
    <m/>
    <m/>
    <m/>
    <m/>
    <m/>
    <m/>
    <m/>
    <m/>
    <m/>
    <m/>
    <m/>
    <m/>
  </r>
  <r>
    <x v="9"/>
    <s v="Blue Ridge Community College"/>
    <m/>
    <n v="198039"/>
    <x v="8"/>
    <n v="39713"/>
    <n v="40650"/>
    <n v="15929"/>
    <n v="15145"/>
    <n v="2144"/>
    <n v="2474"/>
    <n v="21640"/>
    <n v="0"/>
    <n v="0"/>
    <n v="23031"/>
    <n v="0"/>
    <n v="0"/>
    <m/>
    <m/>
    <n v="0"/>
    <n v="0"/>
    <m/>
    <m/>
    <m/>
    <m/>
    <m/>
    <m/>
    <m/>
    <m/>
    <m/>
    <m/>
    <m/>
    <m/>
  </r>
  <r>
    <x v="9"/>
    <s v="Brunswick Community College"/>
    <m/>
    <n v="198084"/>
    <x v="8"/>
    <n v="30364"/>
    <n v="30000"/>
    <n v="16625"/>
    <n v="16140"/>
    <n v="166"/>
    <n v="93"/>
    <n v="13573"/>
    <n v="0"/>
    <n v="0"/>
    <n v="13767"/>
    <n v="0"/>
    <n v="0"/>
    <m/>
    <m/>
    <n v="0"/>
    <n v="0"/>
    <m/>
    <m/>
    <m/>
    <m/>
    <m/>
    <m/>
    <m/>
    <m/>
    <m/>
    <m/>
    <m/>
    <m/>
  </r>
  <r>
    <x v="9"/>
    <s v="Carteret Community College"/>
    <m/>
    <n v="198206"/>
    <x v="8"/>
    <n v="31787"/>
    <n v="30359"/>
    <n v="16627"/>
    <n v="14502"/>
    <n v="1179"/>
    <n v="1254"/>
    <n v="13981"/>
    <n v="0"/>
    <n v="0"/>
    <n v="14519"/>
    <n v="84"/>
    <n v="0"/>
    <m/>
    <m/>
    <n v="0"/>
    <n v="0"/>
    <m/>
    <m/>
    <m/>
    <m/>
    <m/>
    <m/>
    <m/>
    <m/>
    <m/>
    <m/>
    <m/>
    <m/>
  </r>
  <r>
    <x v="9"/>
    <s v="College of the Albemarle"/>
    <m/>
    <n v="197814"/>
    <x v="8"/>
    <n v="48503"/>
    <n v="50368"/>
    <n v="18600"/>
    <n v="18536"/>
    <n v="722"/>
    <n v="756"/>
    <n v="29040"/>
    <n v="141"/>
    <n v="0"/>
    <n v="30621"/>
    <n v="455"/>
    <n v="0"/>
    <m/>
    <m/>
    <n v="0"/>
    <n v="0"/>
    <m/>
    <m/>
    <m/>
    <m/>
    <m/>
    <m/>
    <m/>
    <m/>
    <m/>
    <m/>
    <m/>
    <m/>
  </r>
  <r>
    <x v="9"/>
    <s v="Halifax Community College "/>
    <m/>
    <n v="198640"/>
    <x v="8"/>
    <n v="22861"/>
    <n v="19487"/>
    <n v="8471"/>
    <n v="6460"/>
    <n v="2546"/>
    <n v="2176"/>
    <n v="11610"/>
    <n v="234"/>
    <n v="0"/>
    <n v="10782"/>
    <n v="69"/>
    <n v="0"/>
    <m/>
    <m/>
    <n v="0"/>
    <n v="0"/>
    <m/>
    <m/>
    <m/>
    <m/>
    <m/>
    <m/>
    <m/>
    <m/>
    <m/>
    <m/>
    <m/>
    <m/>
  </r>
  <r>
    <x v="9"/>
    <s v="Haywood Community College"/>
    <m/>
    <n v="198668"/>
    <x v="8"/>
    <n v="31145"/>
    <n v="29095"/>
    <n v="14727"/>
    <n v="13924"/>
    <n v="858"/>
    <n v="1200"/>
    <n v="15560"/>
    <n v="0"/>
    <n v="0"/>
    <n v="13971"/>
    <n v="0"/>
    <n v="0"/>
    <m/>
    <m/>
    <n v="0"/>
    <n v="0"/>
    <m/>
    <m/>
    <m/>
    <m/>
    <m/>
    <m/>
    <m/>
    <m/>
    <m/>
    <m/>
    <m/>
    <m/>
  </r>
  <r>
    <x v="9"/>
    <s v="Isothermal Community College "/>
    <m/>
    <n v="198710"/>
    <x v="8"/>
    <n v="41350"/>
    <n v="42760"/>
    <n v="17398"/>
    <n v="15276"/>
    <n v="4397"/>
    <n v="4313"/>
    <n v="19555"/>
    <n v="0"/>
    <n v="0"/>
    <n v="23171"/>
    <n v="0"/>
    <n v="0"/>
    <m/>
    <m/>
    <n v="0"/>
    <n v="0"/>
    <m/>
    <m/>
    <m/>
    <m/>
    <m/>
    <m/>
    <m/>
    <m/>
    <m/>
    <m/>
    <m/>
    <m/>
  </r>
  <r>
    <x v="9"/>
    <s v="James Sprunt Community College"/>
    <m/>
    <n v="198729"/>
    <x v="8"/>
    <n v="24878"/>
    <n v="24765"/>
    <n v="12162"/>
    <n v="10013"/>
    <n v="627"/>
    <n v="952"/>
    <n v="11342"/>
    <n v="747"/>
    <n v="0"/>
    <n v="12882"/>
    <n v="918"/>
    <n v="0"/>
    <m/>
    <m/>
    <n v="0"/>
    <n v="0"/>
    <m/>
    <m/>
    <m/>
    <m/>
    <m/>
    <m/>
    <m/>
    <m/>
    <m/>
    <m/>
    <m/>
    <m/>
  </r>
  <r>
    <x v="9"/>
    <s v="Martin Community College "/>
    <m/>
    <n v="198905"/>
    <x v="8"/>
    <n v="15807.3"/>
    <n v="15244.5"/>
    <n v="6097.3"/>
    <n v="5202.5"/>
    <n v="368"/>
    <n v="271"/>
    <n v="9342"/>
    <n v="0"/>
    <n v="0"/>
    <n v="9771"/>
    <n v="0"/>
    <n v="0"/>
    <m/>
    <m/>
    <n v="0"/>
    <n v="0"/>
    <m/>
    <m/>
    <m/>
    <m/>
    <m/>
    <m/>
    <m/>
    <m/>
    <m/>
    <m/>
    <m/>
    <m/>
  </r>
  <r>
    <x v="9"/>
    <s v="Mayland Community College"/>
    <m/>
    <n v="198914"/>
    <x v="8"/>
    <n v="19431"/>
    <n v="19417"/>
    <n v="9815"/>
    <n v="8361"/>
    <n v="2629"/>
    <n v="3042"/>
    <n v="6963"/>
    <n v="0"/>
    <n v="24"/>
    <n v="7918"/>
    <n v="0"/>
    <n v="96"/>
    <m/>
    <m/>
    <n v="0"/>
    <n v="0"/>
    <m/>
    <m/>
    <m/>
    <m/>
    <m/>
    <m/>
    <m/>
    <m/>
    <m/>
    <m/>
    <m/>
    <m/>
  </r>
  <r>
    <x v="9"/>
    <s v="McDowell Technical Community College"/>
    <m/>
    <n v="198923"/>
    <x v="8"/>
    <n v="20768"/>
    <n v="21100"/>
    <n v="11124"/>
    <n v="11468"/>
    <n v="265"/>
    <n v="130"/>
    <n v="9346"/>
    <n v="33"/>
    <n v="0"/>
    <n v="9460"/>
    <n v="42"/>
    <n v="0"/>
    <m/>
    <m/>
    <n v="0"/>
    <n v="0"/>
    <m/>
    <m/>
    <m/>
    <m/>
    <m/>
    <m/>
    <m/>
    <m/>
    <m/>
    <m/>
    <m/>
    <m/>
  </r>
  <r>
    <x v="9"/>
    <s v="Montgomery Community College"/>
    <m/>
    <n v="199023"/>
    <x v="8"/>
    <n v="16452"/>
    <n v="17699"/>
    <n v="6864"/>
    <n v="7683"/>
    <n v="992"/>
    <n v="597"/>
    <n v="8596"/>
    <n v="0"/>
    <n v="0"/>
    <n v="9419"/>
    <n v="0"/>
    <n v="0"/>
    <m/>
    <m/>
    <n v="0"/>
    <n v="0"/>
    <m/>
    <m/>
    <m/>
    <m/>
    <m/>
    <m/>
    <m/>
    <m/>
    <m/>
    <m/>
    <m/>
    <m/>
  </r>
  <r>
    <x v="9"/>
    <s v="Pamlico Community College"/>
    <m/>
    <n v="199263"/>
    <x v="8"/>
    <n v="10254"/>
    <n v="11567"/>
    <n v="1091"/>
    <n v="965"/>
    <n v="3841"/>
    <n v="4869"/>
    <n v="5322"/>
    <n v="0"/>
    <n v="0"/>
    <n v="5733"/>
    <n v="0"/>
    <n v="0"/>
    <m/>
    <m/>
    <n v="0"/>
    <n v="0"/>
    <m/>
    <m/>
    <m/>
    <m/>
    <m/>
    <m/>
    <m/>
    <m/>
    <m/>
    <m/>
    <m/>
    <m/>
  </r>
  <r>
    <x v="9"/>
    <s v="Piedmont Community College"/>
    <m/>
    <n v="199324"/>
    <x v="8"/>
    <n v="21670"/>
    <n v="20972"/>
    <n v="10554"/>
    <n v="8697"/>
    <n v="987"/>
    <n v="994"/>
    <n v="9732"/>
    <n v="397"/>
    <n v="0"/>
    <n v="10206"/>
    <n v="1075"/>
    <n v="0"/>
    <m/>
    <m/>
    <n v="0"/>
    <n v="0"/>
    <m/>
    <m/>
    <m/>
    <m/>
    <m/>
    <m/>
    <m/>
    <m/>
    <m/>
    <m/>
    <m/>
    <m/>
  </r>
  <r>
    <x v="9"/>
    <s v="Roanoke-Chowan Community College"/>
    <m/>
    <n v="199467"/>
    <x v="8"/>
    <n v="14374"/>
    <n v="14063"/>
    <n v="5596"/>
    <n v="4912"/>
    <n v="314"/>
    <n v="528"/>
    <n v="8348"/>
    <n v="116"/>
    <n v="0"/>
    <n v="8576"/>
    <n v="47"/>
    <n v="0"/>
    <m/>
    <m/>
    <n v="0"/>
    <n v="0"/>
    <m/>
    <m/>
    <m/>
    <m/>
    <m/>
    <m/>
    <m/>
    <m/>
    <m/>
    <m/>
    <m/>
    <m/>
  </r>
  <r>
    <x v="9"/>
    <s v="Rockingham Community College "/>
    <m/>
    <n v="199485"/>
    <x v="8"/>
    <n v="36180"/>
    <n v="35128"/>
    <n v="26925"/>
    <n v="22277"/>
    <n v="79"/>
    <n v="10"/>
    <n v="9002"/>
    <n v="154"/>
    <n v="20"/>
    <n v="12585"/>
    <n v="256"/>
    <n v="0"/>
    <m/>
    <m/>
    <n v="0"/>
    <n v="0"/>
    <m/>
    <m/>
    <m/>
    <m/>
    <m/>
    <m/>
    <m/>
    <m/>
    <m/>
    <m/>
    <m/>
    <m/>
  </r>
  <r>
    <x v="9"/>
    <s v="Sampson Community College"/>
    <m/>
    <n v="199625"/>
    <x v="8"/>
    <n v="29717"/>
    <n v="33951"/>
    <n v="13893"/>
    <n v="12828"/>
    <n v="498"/>
    <n v="76"/>
    <n v="15326"/>
    <n v="0"/>
    <n v="0"/>
    <n v="21047"/>
    <n v="0"/>
    <n v="0"/>
    <m/>
    <m/>
    <n v="0"/>
    <n v="0"/>
    <m/>
    <m/>
    <m/>
    <m/>
    <m/>
    <m/>
    <m/>
    <m/>
    <m/>
    <m/>
    <m/>
    <m/>
  </r>
  <r>
    <x v="9"/>
    <s v="South Piedmont Community College"/>
    <s v="Reclassified: Met the criteria for Two-Year 2 in 2016-17, 2017-18, and 2018-19."/>
    <n v="197850"/>
    <x v="7"/>
    <n v="47555"/>
    <n v="46574"/>
    <n v="14696"/>
    <n v="14701"/>
    <n v="1347"/>
    <n v="1334"/>
    <n v="31512"/>
    <n v="0"/>
    <n v="0"/>
    <n v="30539"/>
    <n v="0"/>
    <n v="0"/>
    <m/>
    <m/>
    <n v="0"/>
    <n v="0"/>
    <m/>
    <m/>
    <m/>
    <m/>
    <m/>
    <m/>
    <m/>
    <m/>
    <m/>
    <m/>
    <m/>
    <m/>
  </r>
  <r>
    <x v="9"/>
    <s v="Southeastern Community College "/>
    <m/>
    <n v="199722"/>
    <x v="8"/>
    <n v="30148"/>
    <n v="29839"/>
    <n v="14278"/>
    <n v="13132"/>
    <n v="363"/>
    <n v="564"/>
    <n v="15277"/>
    <n v="230"/>
    <n v="0"/>
    <n v="15972"/>
    <n v="171"/>
    <n v="0"/>
    <m/>
    <m/>
    <n v="0"/>
    <n v="0"/>
    <m/>
    <m/>
    <m/>
    <m/>
    <m/>
    <m/>
    <m/>
    <m/>
    <m/>
    <m/>
    <m/>
    <m/>
  </r>
  <r>
    <x v="9"/>
    <s v="Southwestern Community College "/>
    <m/>
    <n v="199731"/>
    <x v="8"/>
    <n v="48341"/>
    <n v="47094"/>
    <n v="25804"/>
    <n v="26916"/>
    <n v="3425"/>
    <n v="1489"/>
    <n v="19008"/>
    <n v="104"/>
    <n v="0"/>
    <n v="18609"/>
    <n v="80"/>
    <n v="0"/>
    <m/>
    <m/>
    <n v="0"/>
    <n v="0"/>
    <m/>
    <m/>
    <m/>
    <m/>
    <m/>
    <m/>
    <m/>
    <m/>
    <m/>
    <m/>
    <m/>
    <m/>
  </r>
  <r>
    <x v="9"/>
    <s v="Tri-County Community College "/>
    <m/>
    <n v="199795"/>
    <x v="8"/>
    <n v="21799"/>
    <n v="21178"/>
    <n v="6486"/>
    <n v="6195"/>
    <n v="1013"/>
    <n v="1369"/>
    <n v="14251"/>
    <n v="49"/>
    <n v="0"/>
    <n v="13569"/>
    <n v="45"/>
    <n v="0"/>
    <m/>
    <m/>
    <n v="0"/>
    <n v="0"/>
    <m/>
    <m/>
    <m/>
    <m/>
    <m/>
    <m/>
    <m/>
    <m/>
    <m/>
    <m/>
    <m/>
    <m/>
  </r>
  <r>
    <x v="9"/>
    <s v="Western Piedmont Community College "/>
    <m/>
    <n v="199908"/>
    <x v="8"/>
    <n v="39699"/>
    <n v="37769"/>
    <n v="23080"/>
    <n v="22497"/>
    <n v="1762"/>
    <n v="1377"/>
    <n v="14857"/>
    <n v="0"/>
    <n v="0"/>
    <n v="13895"/>
    <n v="0"/>
    <n v="0"/>
    <m/>
    <m/>
    <n v="0"/>
    <n v="0"/>
    <m/>
    <m/>
    <m/>
    <m/>
    <m/>
    <m/>
    <m/>
    <m/>
    <m/>
    <m/>
    <m/>
    <m/>
  </r>
  <r>
    <x v="9"/>
    <s v="Wilson Community College"/>
    <m/>
    <n v="199953"/>
    <x v="8"/>
    <n v="35029"/>
    <n v="34679"/>
    <n v="12145"/>
    <n v="11687"/>
    <n v="933"/>
    <n v="1073"/>
    <n v="21951"/>
    <n v="0"/>
    <n v="0"/>
    <n v="21919"/>
    <n v="0"/>
    <n v="0"/>
    <m/>
    <m/>
    <n v="0"/>
    <n v="0"/>
    <m/>
    <m/>
    <m/>
    <m/>
    <m/>
    <m/>
    <m/>
    <m/>
    <m/>
    <m/>
    <m/>
    <m/>
  </r>
  <r>
    <x v="10"/>
    <s v="Oklahoma State University Main Campus"/>
    <m/>
    <n v="207388"/>
    <x v="0"/>
    <n v="587401"/>
    <n v="580598"/>
    <n v="494932"/>
    <n v="478704"/>
    <n v="4911"/>
    <n v="5052"/>
    <n v="87558"/>
    <n v="0"/>
    <n v="0"/>
    <n v="96842"/>
    <n v="0"/>
    <n v="0"/>
    <n v="0"/>
    <n v="0"/>
    <n v="76568"/>
    <n v="86788"/>
    <n v="58423"/>
    <n v="55279"/>
    <n v="1913"/>
    <n v="1717"/>
    <n v="16232"/>
    <m/>
    <m/>
    <n v="16574"/>
    <n v="0"/>
    <n v="0"/>
    <n v="0"/>
    <n v="0"/>
  </r>
  <r>
    <x v="10"/>
    <s v="University of Oklahoma Norman Campus"/>
    <m/>
    <n v="207500"/>
    <x v="0"/>
    <n v="610804"/>
    <n v="627476"/>
    <n v="529923"/>
    <n v="540677"/>
    <n v="7329"/>
    <n v="9562"/>
    <n v="71511"/>
    <n v="99"/>
    <n v="1942"/>
    <n v="76294"/>
    <n v="195"/>
    <n v="748"/>
    <n v="0"/>
    <n v="0"/>
    <n v="139389"/>
    <n v="128963"/>
    <n v="93255"/>
    <n v="108539"/>
    <n v="17315"/>
    <n v="12819"/>
    <n v="24673"/>
    <n v="387"/>
    <n v="3759"/>
    <n v="27819"/>
    <n v="261"/>
    <n v="1712"/>
    <n v="0"/>
    <n v="0"/>
  </r>
  <r>
    <x v="10"/>
    <s v="Northeastern State University"/>
    <m/>
    <n v="207263"/>
    <x v="2"/>
    <n v="167161"/>
    <n v="164589"/>
    <n v="108585"/>
    <n v="101883"/>
    <n v="60"/>
    <n v="0"/>
    <n v="56631"/>
    <n v="1885"/>
    <n v="0"/>
    <n v="60697"/>
    <n v="2009"/>
    <n v="0"/>
    <n v="0"/>
    <n v="0"/>
    <n v="19836"/>
    <n v="16294"/>
    <n v="13906"/>
    <n v="13572"/>
    <n v="0"/>
    <n v="0"/>
    <n v="5475"/>
    <n v="455"/>
    <n v="0"/>
    <n v="6812"/>
    <n v="793"/>
    <n v="0"/>
    <n v="0"/>
    <n v="0"/>
  </r>
  <r>
    <x v="10"/>
    <s v="University of Central Oklahoma"/>
    <m/>
    <n v="206941"/>
    <x v="2"/>
    <n v="353704"/>
    <n v="350254"/>
    <n v="283821"/>
    <n v="274902"/>
    <n v="3678"/>
    <n v="5148"/>
    <n v="61430"/>
    <n v="463"/>
    <n v="3929"/>
    <n v="65180"/>
    <n v="1111"/>
    <n v="3913"/>
    <n v="383"/>
    <n v="0"/>
    <n v="24556"/>
    <n v="41613"/>
    <n v="20821"/>
    <n v="20798"/>
    <n v="258"/>
    <n v="201"/>
    <n v="1492"/>
    <n v="12"/>
    <n v="1973"/>
    <n v="1267"/>
    <n v="21"/>
    <n v="1434"/>
    <n v="0"/>
    <n v="0"/>
  </r>
  <r>
    <x v="10"/>
    <s v="Southeastern Oklahoma State University "/>
    <m/>
    <n v="207847"/>
    <x v="3"/>
    <n v="79180"/>
    <n v="80099"/>
    <n v="47241"/>
    <n v="44034"/>
    <n v="1893"/>
    <n v="731"/>
    <n v="27833"/>
    <n v="2213"/>
    <n v="0"/>
    <n v="33751"/>
    <n v="609"/>
    <n v="974"/>
    <n v="0"/>
    <n v="0"/>
    <n v="12524"/>
    <n v="10006"/>
    <n v="845"/>
    <n v="1810"/>
    <n v="1539"/>
    <n v="963"/>
    <n v="10083"/>
    <n v="57"/>
    <n v="0"/>
    <n v="20614"/>
    <n v="0"/>
    <n v="0"/>
    <n v="0"/>
    <n v="0"/>
  </r>
  <r>
    <x v="10"/>
    <s v="Southwestern Oklahoma State University"/>
    <m/>
    <n v="207865"/>
    <x v="3"/>
    <n v="126266"/>
    <n v="123129"/>
    <n v="96056"/>
    <n v="90576"/>
    <n v="1390"/>
    <n v="1339"/>
    <n v="27736"/>
    <n v="1084"/>
    <n v="0"/>
    <n v="30409"/>
    <n v="805"/>
    <n v="0"/>
    <n v="0"/>
    <n v="0"/>
    <n v="14123"/>
    <n v="10688"/>
    <n v="7421"/>
    <n v="7256"/>
    <n v="30"/>
    <n v="0"/>
    <n v="6627"/>
    <n v="45"/>
    <n v="0"/>
    <n v="7230"/>
    <n v="3"/>
    <n v="0"/>
    <n v="0"/>
    <n v="0"/>
  </r>
  <r>
    <x v="10"/>
    <s v="Cameron University "/>
    <m/>
    <n v="206914"/>
    <x v="4"/>
    <n v="101111"/>
    <n v="97151"/>
    <n v="69479"/>
    <n v="62813"/>
    <n v="1228"/>
    <n v="1491"/>
    <n v="20822"/>
    <n v="9582"/>
    <n v="0"/>
    <n v="23525"/>
    <n v="9322"/>
    <n v="0"/>
    <n v="0"/>
    <n v="0"/>
    <n v="6010"/>
    <n v="10017"/>
    <n v="2167"/>
    <n v="1806"/>
    <n v="0"/>
    <n v="0"/>
    <n v="3321"/>
    <n v="522"/>
    <n v="0"/>
    <n v="3063"/>
    <n v="369"/>
    <n v="0"/>
    <n v="0"/>
    <n v="0"/>
  </r>
  <r>
    <x v="10"/>
    <s v="East Central University "/>
    <s v="Met the criteria for Four-Year 4 in 2018-19."/>
    <n v="207041"/>
    <x v="4"/>
    <n v="85261"/>
    <n v="81726"/>
    <n v="66058"/>
    <n v="63720"/>
    <n v="1798"/>
    <n v="1496"/>
    <n v="14250"/>
    <n v="69"/>
    <n v="3086"/>
    <n v="13922"/>
    <n v="36"/>
    <n v="2552"/>
    <n v="0"/>
    <n v="0"/>
    <n v="10913"/>
    <n v="2653"/>
    <n v="3468"/>
    <n v="2460"/>
    <n v="0"/>
    <n v="0"/>
    <n v="6573"/>
    <n v="173"/>
    <n v="699"/>
    <n v="7614"/>
    <n v="18"/>
    <n v="579"/>
    <n v="0"/>
    <n v="0"/>
  </r>
  <r>
    <x v="10"/>
    <s v="Langston University"/>
    <m/>
    <n v="207209"/>
    <x v="4"/>
    <n v="57408"/>
    <n v="56567"/>
    <n v="50993"/>
    <n v="49518"/>
    <n v="0"/>
    <n v="0"/>
    <n v="6415"/>
    <n v="0"/>
    <n v="0"/>
    <n v="7049"/>
    <n v="0"/>
    <n v="0"/>
    <n v="0"/>
    <n v="0"/>
    <n v="5908"/>
    <n v="7534"/>
    <n v="5611"/>
    <n v="5294"/>
    <n v="0"/>
    <n v="0"/>
    <n v="297"/>
    <n v="0"/>
    <n v="0"/>
    <n v="193"/>
    <n v="0"/>
    <n v="0"/>
    <n v="0"/>
    <n v="0"/>
  </r>
  <r>
    <x v="10"/>
    <s v="Northwestern Oklahoma State University "/>
    <m/>
    <n v="207306"/>
    <x v="4"/>
    <n v="48846"/>
    <n v="47887"/>
    <n v="32892"/>
    <n v="31859"/>
    <n v="24"/>
    <n v="18"/>
    <n v="8532"/>
    <n v="7185"/>
    <n v="213"/>
    <n v="8719"/>
    <n v="6754"/>
    <n v="537"/>
    <n v="0"/>
    <n v="0"/>
    <n v="2663"/>
    <n v="940"/>
    <n v="999"/>
    <n v="940"/>
    <n v="6"/>
    <n v="0"/>
    <n v="842"/>
    <n v="544"/>
    <n v="272"/>
    <n v="1294"/>
    <n v="640"/>
    <n v="306"/>
    <n v="0"/>
    <n v="0"/>
  </r>
  <r>
    <x v="10"/>
    <s v="Oklahoma Panhandle State University "/>
    <m/>
    <n v="207351"/>
    <x v="5"/>
    <n v="29451"/>
    <n v="30993"/>
    <n v="22303"/>
    <n v="22128"/>
    <n v="0"/>
    <n v="0"/>
    <n v="7079"/>
    <n v="69"/>
    <n v="0"/>
    <n v="8865"/>
    <n v="0"/>
    <n v="0"/>
    <n v="0"/>
    <n v="0"/>
    <n v="0"/>
    <n v="24"/>
    <n v="0"/>
    <n v="0"/>
    <n v="0"/>
    <n v="0"/>
    <n v="0"/>
    <n v="0"/>
    <n v="0"/>
    <n v="0"/>
    <n v="0"/>
    <n v="0"/>
    <n v="0"/>
    <n v="0"/>
  </r>
  <r>
    <x v="10"/>
    <s v="Rogers State University"/>
    <m/>
    <n v="207661"/>
    <x v="5"/>
    <n v="83657"/>
    <n v="81920"/>
    <n v="58919"/>
    <n v="54954"/>
    <n v="0"/>
    <n v="0"/>
    <n v="23020"/>
    <n v="1656"/>
    <n v="6"/>
    <n v="25325"/>
    <n v="1641"/>
    <n v="0"/>
    <n v="56"/>
    <n v="0"/>
    <n v="504"/>
    <n v="435"/>
    <n v="459"/>
    <n v="435"/>
    <n v="0"/>
    <n v="0"/>
    <n v="45"/>
    <n v="0"/>
    <n v="0"/>
    <n v="24"/>
    <n v="0"/>
    <n v="0"/>
    <n v="0"/>
    <n v="0"/>
  </r>
  <r>
    <x v="10"/>
    <s v="University of Science and Arts of Oklahoma"/>
    <m/>
    <n v="207722"/>
    <x v="5"/>
    <n v="25677"/>
    <n v="25519"/>
    <n v="25638"/>
    <n v="25486"/>
    <n v="39"/>
    <n v="33"/>
    <n v="0"/>
    <n v="0"/>
    <n v="0"/>
    <n v="0"/>
    <n v="0"/>
    <n v="0"/>
    <n v="0"/>
    <n v="0"/>
    <n v="0"/>
    <n v="0"/>
    <m/>
    <m/>
    <m/>
    <m/>
    <m/>
    <m/>
    <m/>
    <m/>
    <m/>
    <m/>
    <m/>
    <m/>
  </r>
  <r>
    <x v="10"/>
    <s v="Oklahoma State University Technical Branch-Okmulgee "/>
    <m/>
    <n v="207564"/>
    <x v="13"/>
    <n v="70812"/>
    <n v="71388"/>
    <n v="54406"/>
    <n v="55153"/>
    <n v="0"/>
    <n v="0"/>
    <n v="13569"/>
    <n v="0"/>
    <n v="2837"/>
    <n v="16235"/>
    <n v="0"/>
    <n v="0"/>
    <n v="0"/>
    <n v="0"/>
    <n v="0"/>
    <n v="0"/>
    <m/>
    <m/>
    <m/>
    <m/>
    <m/>
    <m/>
    <m/>
    <m/>
    <m/>
    <m/>
    <m/>
    <m/>
  </r>
  <r>
    <x v="10"/>
    <s v="Oklahoma State University-Oklahoma City"/>
    <m/>
    <n v="207397"/>
    <x v="13"/>
    <n v="133945"/>
    <n v="127235"/>
    <n v="78488"/>
    <n v="75490"/>
    <n v="10"/>
    <n v="3"/>
    <n v="55447"/>
    <n v="0"/>
    <n v="0"/>
    <n v="51742"/>
    <n v="0"/>
    <n v="0"/>
    <n v="0"/>
    <n v="0"/>
    <n v="0"/>
    <n v="0"/>
    <m/>
    <m/>
    <m/>
    <m/>
    <m/>
    <m/>
    <m/>
    <m/>
    <m/>
    <m/>
    <m/>
    <m/>
  </r>
  <r>
    <x v="10"/>
    <s v="Oklahoma City Community College "/>
    <m/>
    <n v="207449"/>
    <x v="6"/>
    <n v="237222"/>
    <n v="229097"/>
    <n v="167309"/>
    <n v="165940"/>
    <n v="2030"/>
    <n v="1875"/>
    <n v="66704"/>
    <n v="0"/>
    <n v="1179"/>
    <n v="59075"/>
    <n v="0"/>
    <n v="2207"/>
    <n v="0"/>
    <n v="0"/>
    <n v="0"/>
    <n v="0"/>
    <m/>
    <m/>
    <m/>
    <m/>
    <m/>
    <m/>
    <m/>
    <m/>
    <m/>
    <m/>
    <m/>
    <m/>
  </r>
  <r>
    <x v="10"/>
    <s v="Tulsa Community College "/>
    <m/>
    <n v="207935"/>
    <x v="6"/>
    <n v="303366"/>
    <n v="317549"/>
    <n v="194052"/>
    <n v="213994"/>
    <n v="19068"/>
    <n v="20693"/>
    <n v="90246"/>
    <n v="0"/>
    <n v="0"/>
    <n v="82862"/>
    <n v="0"/>
    <n v="0"/>
    <n v="0"/>
    <n v="0"/>
    <n v="0"/>
    <n v="0"/>
    <m/>
    <m/>
    <m/>
    <m/>
    <m/>
    <m/>
    <m/>
    <m/>
    <m/>
    <m/>
    <m/>
    <m/>
  </r>
  <r>
    <x v="10"/>
    <s v="Northern Oklahoma College "/>
    <m/>
    <n v="207281"/>
    <x v="7"/>
    <n v="82209"/>
    <n v="77640"/>
    <n v="57523"/>
    <n v="51797"/>
    <n v="414"/>
    <n v="393"/>
    <n v="11996"/>
    <n v="12276"/>
    <n v="0"/>
    <n v="13468"/>
    <n v="11982"/>
    <n v="0"/>
    <n v="0"/>
    <n v="0"/>
    <n v="0"/>
    <n v="0"/>
    <m/>
    <m/>
    <m/>
    <m/>
    <m/>
    <m/>
    <m/>
    <m/>
    <m/>
    <m/>
    <m/>
    <m/>
  </r>
  <r>
    <x v="10"/>
    <s v="Rose State College "/>
    <m/>
    <n v="207670"/>
    <x v="7"/>
    <n v="131483"/>
    <n v="129628"/>
    <n v="91464"/>
    <n v="88569"/>
    <n v="388"/>
    <n v="402"/>
    <n v="37430"/>
    <n v="1020"/>
    <n v="1181"/>
    <n v="37869"/>
    <n v="1635"/>
    <n v="1153"/>
    <n v="0"/>
    <n v="0"/>
    <n v="0"/>
    <n v="0"/>
    <m/>
    <m/>
    <m/>
    <m/>
    <m/>
    <m/>
    <m/>
    <m/>
    <m/>
    <m/>
    <m/>
    <m/>
  </r>
  <r>
    <x v="10"/>
    <s v="Carl Albert State College"/>
    <m/>
    <n v="206923"/>
    <x v="8"/>
    <n v="45775"/>
    <n v="42448"/>
    <n v="44161"/>
    <n v="40924"/>
    <n v="0"/>
    <n v="0"/>
    <n v="0"/>
    <n v="1614"/>
    <n v="0"/>
    <n v="0"/>
    <n v="1524"/>
    <n v="0"/>
    <n v="0"/>
    <n v="0"/>
    <n v="0"/>
    <n v="0"/>
    <m/>
    <m/>
    <m/>
    <m/>
    <m/>
    <m/>
    <m/>
    <m/>
    <m/>
    <m/>
    <m/>
    <m/>
  </r>
  <r>
    <x v="10"/>
    <s v="Connors State College "/>
    <m/>
    <n v="206996"/>
    <x v="8"/>
    <n v="51380"/>
    <n v="52306"/>
    <n v="22461"/>
    <n v="24889"/>
    <n v="5102"/>
    <n v="4855"/>
    <n v="21511"/>
    <n v="2306"/>
    <n v="0"/>
    <n v="19822"/>
    <n v="2740"/>
    <n v="0"/>
    <n v="0"/>
    <n v="0"/>
    <n v="0"/>
    <n v="0"/>
    <m/>
    <m/>
    <m/>
    <m/>
    <m/>
    <m/>
    <m/>
    <m/>
    <m/>
    <m/>
    <m/>
    <m/>
  </r>
  <r>
    <x v="10"/>
    <s v="Eastern Oklahoma State College "/>
    <m/>
    <n v="207050"/>
    <x v="8"/>
    <n v="25541"/>
    <n v="32904"/>
    <n v="15730"/>
    <n v="20427"/>
    <n v="309"/>
    <n v="486"/>
    <n v="8074"/>
    <n v="1428"/>
    <n v="0"/>
    <n v="9684"/>
    <n v="2307"/>
    <n v="0"/>
    <n v="0"/>
    <n v="0"/>
    <n v="0"/>
    <n v="0"/>
    <m/>
    <m/>
    <m/>
    <m/>
    <m/>
    <m/>
    <m/>
    <m/>
    <m/>
    <m/>
    <m/>
    <m/>
  </r>
  <r>
    <x v="10"/>
    <s v="Murray State College "/>
    <m/>
    <n v="207236"/>
    <x v="8"/>
    <n v="46100"/>
    <n v="44197"/>
    <n v="26710"/>
    <n v="23662"/>
    <n v="498"/>
    <n v="363"/>
    <n v="15493"/>
    <n v="3249"/>
    <n v="150"/>
    <n v="17097"/>
    <n v="3075"/>
    <n v="0"/>
    <n v="0"/>
    <n v="0"/>
    <n v="0"/>
    <n v="0"/>
    <m/>
    <m/>
    <m/>
    <m/>
    <m/>
    <m/>
    <m/>
    <m/>
    <m/>
    <m/>
    <m/>
    <m/>
  </r>
  <r>
    <x v="10"/>
    <s v="Northeastern Oklahoma A &amp; M College "/>
    <m/>
    <n v="207290"/>
    <x v="8"/>
    <n v="52849"/>
    <n v="49976"/>
    <n v="43341"/>
    <n v="40997"/>
    <n v="0"/>
    <n v="0"/>
    <n v="9265"/>
    <n v="243"/>
    <n v="0"/>
    <n v="8832"/>
    <n v="147"/>
    <n v="0"/>
    <n v="0"/>
    <n v="0"/>
    <n v="0"/>
    <n v="0"/>
    <m/>
    <m/>
    <m/>
    <m/>
    <m/>
    <m/>
    <m/>
    <m/>
    <m/>
    <m/>
    <m/>
    <m/>
  </r>
  <r>
    <x v="10"/>
    <s v="Redlands Community College"/>
    <m/>
    <n v="207069"/>
    <x v="8"/>
    <n v="35551"/>
    <n v="36157"/>
    <n v="14838"/>
    <n v="15867"/>
    <n v="3342"/>
    <n v="2094"/>
    <n v="16009"/>
    <n v="1362"/>
    <n v="0"/>
    <n v="17296"/>
    <n v="900"/>
    <n v="0"/>
    <n v="0"/>
    <n v="0"/>
    <n v="0"/>
    <n v="0"/>
    <m/>
    <m/>
    <m/>
    <m/>
    <m/>
    <m/>
    <m/>
    <m/>
    <m/>
    <m/>
    <m/>
    <m/>
  </r>
  <r>
    <x v="10"/>
    <s v="Seminole State College "/>
    <m/>
    <n v="207740"/>
    <x v="8"/>
    <n v="36115"/>
    <n v="36284"/>
    <n v="27871"/>
    <n v="27361"/>
    <n v="1075"/>
    <n v="1351"/>
    <n v="6776"/>
    <n v="393"/>
    <n v="0"/>
    <n v="7164"/>
    <n v="408"/>
    <n v="0"/>
    <n v="0"/>
    <n v="0"/>
    <n v="0"/>
    <n v="0"/>
    <m/>
    <m/>
    <m/>
    <m/>
    <m/>
    <m/>
    <m/>
    <m/>
    <m/>
    <m/>
    <m/>
    <m/>
  </r>
  <r>
    <x v="10"/>
    <s v="Western Oklahoma State College "/>
    <m/>
    <n v="208035"/>
    <x v="8"/>
    <n v="27561"/>
    <n v="26511"/>
    <n v="16433"/>
    <n v="15170"/>
    <n v="688"/>
    <n v="488"/>
    <n v="8631"/>
    <n v="1809"/>
    <n v="0"/>
    <n v="8901"/>
    <n v="1952"/>
    <n v="0"/>
    <n v="0"/>
    <n v="0"/>
    <n v="0"/>
    <n v="19846"/>
    <m/>
    <m/>
    <m/>
    <m/>
    <m/>
    <m/>
    <m/>
    <m/>
    <m/>
    <m/>
    <m/>
    <m/>
  </r>
  <r>
    <x v="10"/>
    <m/>
    <m/>
    <m/>
    <x v="12"/>
    <m/>
    <m/>
    <m/>
    <m/>
    <m/>
    <m/>
    <m/>
    <m/>
    <m/>
    <m/>
    <m/>
    <m/>
    <m/>
    <m/>
    <m/>
    <m/>
    <m/>
    <m/>
    <m/>
    <m/>
    <m/>
    <m/>
    <m/>
    <m/>
    <m/>
    <m/>
    <m/>
    <m/>
  </r>
  <r>
    <x v="11"/>
    <s v="Clemson University"/>
    <m/>
    <n v="217882"/>
    <x v="0"/>
    <n v="589493"/>
    <n v="603785"/>
    <n v="527601"/>
    <n v="536931"/>
    <n v="10460"/>
    <n v="10739"/>
    <n v="51432"/>
    <m/>
    <m/>
    <n v="56115"/>
    <m/>
    <m/>
    <m/>
    <m/>
    <n v="89753"/>
    <n v="93420"/>
    <n v="45884"/>
    <n v="46433"/>
    <n v="28398"/>
    <n v="27141"/>
    <n v="15471"/>
    <m/>
    <m/>
    <n v="19846"/>
    <m/>
    <m/>
    <m/>
    <m/>
  </r>
  <r>
    <x v="11"/>
    <s v="University of South Carolina-Columbia"/>
    <m/>
    <n v="218663"/>
    <x v="0"/>
    <n v="790130"/>
    <n v="808864"/>
    <n v="614796"/>
    <n v="706804"/>
    <n v="103770"/>
    <n v="11778"/>
    <n v="71396"/>
    <n v="168"/>
    <m/>
    <n v="90225"/>
    <n v="57"/>
    <m/>
    <m/>
    <m/>
    <n v="176083"/>
    <n v="170000"/>
    <n v="92894"/>
    <n v="123981"/>
    <n v="41091"/>
    <n v="2801"/>
    <n v="35561"/>
    <n v="6537"/>
    <m/>
    <n v="31235"/>
    <n v="11983"/>
    <m/>
    <m/>
    <m/>
  </r>
  <r>
    <x v="11"/>
    <s v="College of Charleston"/>
    <m/>
    <n v="217819"/>
    <x v="2"/>
    <n v="298165"/>
    <n v="293389"/>
    <n v="275483"/>
    <n v="267919"/>
    <n v="4017"/>
    <n v="4927"/>
    <n v="18665"/>
    <m/>
    <m/>
    <n v="20543"/>
    <m/>
    <m/>
    <m/>
    <m/>
    <n v="13834"/>
    <n v="13433"/>
    <n v="7132"/>
    <n v="6905"/>
    <n v="2867"/>
    <n v="1837"/>
    <n v="3835"/>
    <m/>
    <m/>
    <n v="4691"/>
    <m/>
    <m/>
    <m/>
    <m/>
  </r>
  <r>
    <x v="11"/>
    <s v="The Citadel, the Military College of South Carolina "/>
    <m/>
    <n v="217864"/>
    <x v="2"/>
    <n v="96854"/>
    <n v="100553"/>
    <n v="92772"/>
    <n v="95474"/>
    <m/>
    <n v="58"/>
    <n v="4082"/>
    <m/>
    <m/>
    <n v="5021"/>
    <m/>
    <m/>
    <m/>
    <m/>
    <n v="15084"/>
    <n v="15405"/>
    <n v="7781"/>
    <n v="7190"/>
    <n v="1665"/>
    <n v="1386"/>
    <n v="5638"/>
    <m/>
    <m/>
    <n v="6829"/>
    <m/>
    <m/>
    <m/>
    <m/>
  </r>
  <r>
    <x v="11"/>
    <s v="Winthrop University "/>
    <m/>
    <n v="218964"/>
    <x v="2"/>
    <n v="147023"/>
    <n v="143981"/>
    <n v="129573"/>
    <n v="124625.5"/>
    <n v="2719"/>
    <n v="2545.5"/>
    <n v="14731"/>
    <m/>
    <m/>
    <n v="16810"/>
    <m/>
    <m/>
    <m/>
    <m/>
    <n v="13607"/>
    <n v="12567.5"/>
    <n v="10383"/>
    <n v="9359.5"/>
    <n v="1403"/>
    <n v="730"/>
    <n v="1821"/>
    <m/>
    <m/>
    <n v="2478"/>
    <m/>
    <m/>
    <m/>
    <m/>
  </r>
  <r>
    <x v="11"/>
    <s v="Coastal Carolina University"/>
    <s v="Reclassified: Met the criteria for Four-Year 4 in 2016-17, 2017-18, and 2018-19."/>
    <n v="218724"/>
    <x v="3"/>
    <n v="290577"/>
    <n v="292069"/>
    <n v="244617"/>
    <n v="238856"/>
    <n v="2493"/>
    <n v="2530"/>
    <n v="43467"/>
    <m/>
    <m/>
    <n v="50683"/>
    <m/>
    <m/>
    <m/>
    <m/>
    <n v="14068"/>
    <n v="13125"/>
    <n v="5145"/>
    <n v="4806"/>
    <n v="1365"/>
    <n v="1254"/>
    <n v="7558"/>
    <m/>
    <m/>
    <n v="7065"/>
    <m/>
    <m/>
    <m/>
    <m/>
  </r>
  <r>
    <x v="11"/>
    <s v="Francis Marion University "/>
    <m/>
    <n v="218061"/>
    <x v="4"/>
    <n v="92919"/>
    <n v="87859"/>
    <n v="89052"/>
    <n v="80875"/>
    <n v="81"/>
    <n v="770"/>
    <n v="3786"/>
    <m/>
    <m/>
    <n v="6214"/>
    <m/>
    <m/>
    <m/>
    <m/>
    <n v="5669"/>
    <n v="8041"/>
    <n v="3857"/>
    <n v="4888"/>
    <m/>
    <n v="908"/>
    <n v="1812"/>
    <m/>
    <m/>
    <n v="2245"/>
    <m/>
    <m/>
    <m/>
    <m/>
  </r>
  <r>
    <x v="11"/>
    <s v="South Carolina State University "/>
    <m/>
    <n v="218733"/>
    <x v="4"/>
    <n v="69861"/>
    <n v="68036"/>
    <n v="64107"/>
    <n v="61512"/>
    <m/>
    <m/>
    <n v="5736"/>
    <m/>
    <n v="18"/>
    <n v="6524"/>
    <m/>
    <m/>
    <m/>
    <m/>
    <n v="7234"/>
    <n v="8239"/>
    <n v="6367"/>
    <n v="7150"/>
    <m/>
    <m/>
    <n v="867"/>
    <m/>
    <m/>
    <n v="1032"/>
    <n v="57"/>
    <m/>
    <m/>
    <m/>
  </r>
  <r>
    <x v="11"/>
    <s v="Lander University"/>
    <m/>
    <n v="218229"/>
    <x v="5"/>
    <n v="79040"/>
    <n v="82016.5"/>
    <n v="72813"/>
    <n v="73509.5"/>
    <n v="33"/>
    <n v="75"/>
    <n v="6194"/>
    <m/>
    <m/>
    <n v="8432"/>
    <m/>
    <m/>
    <m/>
    <m/>
    <n v="1121"/>
    <n v="1610"/>
    <n v="378"/>
    <n v="495"/>
    <m/>
    <m/>
    <n v="743"/>
    <m/>
    <m/>
    <n v="1115"/>
    <m/>
    <m/>
    <m/>
    <m/>
  </r>
  <r>
    <x v="11"/>
    <s v="University of South Carolina-Aiken"/>
    <m/>
    <n v="218645"/>
    <x v="5"/>
    <n v="89565"/>
    <n v="91856"/>
    <n v="71159"/>
    <n v="68797"/>
    <n v="3684"/>
    <n v="3837"/>
    <n v="14722"/>
    <m/>
    <m/>
    <n v="19222"/>
    <m/>
    <m/>
    <m/>
    <m/>
    <n v="2788"/>
    <n v="1610"/>
    <n v="868"/>
    <n v="428"/>
    <n v="69"/>
    <m/>
    <n v="1851"/>
    <m/>
    <m/>
    <n v="1182"/>
    <m/>
    <m/>
    <m/>
    <m/>
  </r>
  <r>
    <x v="11"/>
    <s v="University of South Carolina-Beaufort"/>
    <m/>
    <n v="218654"/>
    <x v="5"/>
    <n v="57050"/>
    <n v="58819"/>
    <n v="42175"/>
    <n v="40441"/>
    <n v="5607"/>
    <n v="2781"/>
    <n v="9268"/>
    <m/>
    <m/>
    <n v="15597"/>
    <m/>
    <m/>
    <m/>
    <m/>
    <n v="0"/>
    <n v="0"/>
    <m/>
    <m/>
    <m/>
    <m/>
    <m/>
    <m/>
    <m/>
    <m/>
    <m/>
    <m/>
    <m/>
    <m/>
  </r>
  <r>
    <x v="11"/>
    <s v="University of South Carolina-Upstate"/>
    <m/>
    <n v="218742"/>
    <x v="5"/>
    <n v="152226"/>
    <n v="159493"/>
    <n v="110155"/>
    <n v="111564"/>
    <n v="16962"/>
    <n v="8304"/>
    <n v="25109"/>
    <m/>
    <m/>
    <n v="39625"/>
    <m/>
    <m/>
    <m/>
    <m/>
    <n v="2596"/>
    <n v="1636"/>
    <n v="346"/>
    <n v="294"/>
    <n v="608"/>
    <n v="18"/>
    <n v="1642"/>
    <m/>
    <m/>
    <n v="1324"/>
    <m/>
    <m/>
    <m/>
    <m/>
  </r>
  <r>
    <x v="11"/>
    <s v="Greenville Technical College "/>
    <m/>
    <n v="218113"/>
    <x v="6"/>
    <n v="241012"/>
    <n v="229910"/>
    <n v="153046"/>
    <n v="139527"/>
    <n v="14817"/>
    <n v="14789"/>
    <n v="73149"/>
    <m/>
    <m/>
    <n v="75594"/>
    <m/>
    <m/>
    <m/>
    <m/>
    <n v="0"/>
    <n v="0"/>
    <m/>
    <m/>
    <m/>
    <m/>
    <m/>
    <m/>
    <m/>
    <m/>
    <m/>
    <m/>
    <m/>
    <m/>
  </r>
  <r>
    <x v="11"/>
    <s v="Horry-Georgetown Technical College "/>
    <m/>
    <n v="218140"/>
    <x v="6"/>
    <n v="154156"/>
    <n v="155687"/>
    <n v="97792"/>
    <n v="97399"/>
    <n v="7416"/>
    <n v="7958"/>
    <n v="48948"/>
    <m/>
    <m/>
    <n v="50330"/>
    <m/>
    <m/>
    <m/>
    <m/>
    <n v="0"/>
    <n v="0"/>
    <m/>
    <m/>
    <m/>
    <m/>
    <m/>
    <m/>
    <m/>
    <m/>
    <m/>
    <m/>
    <m/>
    <m/>
  </r>
  <r>
    <x v="11"/>
    <s v="Midlands Technical College "/>
    <m/>
    <n v="218353"/>
    <x v="6"/>
    <n v="224725"/>
    <n v="218410"/>
    <n v="153789"/>
    <n v="144739"/>
    <n v="15311"/>
    <n v="15930"/>
    <n v="55625"/>
    <m/>
    <m/>
    <n v="57741"/>
    <m/>
    <m/>
    <m/>
    <m/>
    <n v="0"/>
    <n v="0"/>
    <m/>
    <m/>
    <m/>
    <m/>
    <m/>
    <m/>
    <m/>
    <m/>
    <m/>
    <m/>
    <m/>
    <m/>
  </r>
  <r>
    <x v="11"/>
    <s v="Tri-County Technical College "/>
    <s v="Reclassified: Met the criteria for Two-Year 2 in 2016-17, 2017-18, and 2018-19."/>
    <n v="218885"/>
    <x v="7"/>
    <n v="144617"/>
    <n v="143894"/>
    <n v="103512"/>
    <n v="99028"/>
    <n v="6089"/>
    <n v="6327"/>
    <n v="35016"/>
    <m/>
    <m/>
    <n v="38539"/>
    <m/>
    <m/>
    <m/>
    <m/>
    <n v="0"/>
    <n v="0"/>
    <m/>
    <m/>
    <m/>
    <m/>
    <m/>
    <m/>
    <m/>
    <m/>
    <m/>
    <m/>
    <m/>
    <m/>
  </r>
  <r>
    <x v="11"/>
    <s v="Trident Technical College "/>
    <m/>
    <n v="218894"/>
    <x v="6"/>
    <n v="280293"/>
    <n v="255420"/>
    <n v="146206"/>
    <n v="103857"/>
    <n v="21158"/>
    <n v="20816"/>
    <n v="112929"/>
    <m/>
    <m/>
    <n v="130747"/>
    <m/>
    <m/>
    <m/>
    <m/>
    <n v="0"/>
    <n v="0"/>
    <m/>
    <m/>
    <m/>
    <m/>
    <m/>
    <m/>
    <m/>
    <m/>
    <m/>
    <m/>
    <m/>
    <m/>
  </r>
  <r>
    <x v="11"/>
    <s v="Central Carolina Technical College "/>
    <m/>
    <n v="218858"/>
    <x v="7"/>
    <n v="77357"/>
    <n v="76761"/>
    <n v="44520"/>
    <n v="42570"/>
    <n v="3381"/>
    <n v="3155"/>
    <n v="29456"/>
    <m/>
    <m/>
    <n v="31036"/>
    <m/>
    <m/>
    <m/>
    <m/>
    <n v="0"/>
    <n v="0"/>
    <m/>
    <m/>
    <m/>
    <m/>
    <m/>
    <m/>
    <m/>
    <m/>
    <m/>
    <m/>
    <m/>
    <m/>
  </r>
  <r>
    <x v="11"/>
    <s v="Florence-Darlington Technical College "/>
    <m/>
    <n v="218025"/>
    <x v="7"/>
    <n v="101226"/>
    <n v="77988"/>
    <n v="26736"/>
    <n v="38487"/>
    <n v="13229"/>
    <n v="7034"/>
    <n v="53060"/>
    <n v="8201"/>
    <m/>
    <n v="27850"/>
    <n v="4617"/>
    <m/>
    <m/>
    <m/>
    <n v="0"/>
    <n v="0"/>
    <m/>
    <m/>
    <m/>
    <m/>
    <m/>
    <m/>
    <m/>
    <m/>
    <m/>
    <m/>
    <m/>
    <m/>
  </r>
  <r>
    <x v="11"/>
    <s v="Orangeburg-Calhoun Technical College "/>
    <s v="Reclassified: Met the criteria for Two-Year 3 in 2016-17, 2017-18, and 2018-19."/>
    <n v="218487"/>
    <x v="8"/>
    <n v="52581"/>
    <n v="50204"/>
    <n v="31905"/>
    <n v="28543"/>
    <n v="9406"/>
    <n v="8710"/>
    <n v="11270"/>
    <m/>
    <m/>
    <n v="12951"/>
    <m/>
    <m/>
    <m/>
    <m/>
    <n v="0"/>
    <n v="0"/>
    <m/>
    <m/>
    <m/>
    <m/>
    <m/>
    <m/>
    <m/>
    <m/>
    <m/>
    <m/>
    <m/>
    <m/>
  </r>
  <r>
    <x v="11"/>
    <s v="Piedmont Technical College "/>
    <m/>
    <n v="218520"/>
    <x v="7"/>
    <n v="101214"/>
    <n v="98532"/>
    <n v="42513"/>
    <n v="39325"/>
    <n v="10335"/>
    <n v="10595"/>
    <n v="41992"/>
    <n v="6374"/>
    <m/>
    <n v="42863"/>
    <n v="5749"/>
    <m/>
    <m/>
    <m/>
    <n v="0"/>
    <n v="0"/>
    <m/>
    <m/>
    <m/>
    <m/>
    <m/>
    <m/>
    <m/>
    <m/>
    <m/>
    <m/>
    <m/>
    <m/>
  </r>
  <r>
    <x v="11"/>
    <s v="Spartanburg Community College "/>
    <m/>
    <n v="218830"/>
    <x v="7"/>
    <n v="98877"/>
    <n v="96953"/>
    <n v="65277"/>
    <n v="63688"/>
    <n v="9994"/>
    <n v="9668"/>
    <n v="23606"/>
    <m/>
    <m/>
    <n v="23597"/>
    <m/>
    <m/>
    <m/>
    <m/>
    <n v="0"/>
    <n v="0"/>
    <m/>
    <m/>
    <m/>
    <m/>
    <m/>
    <m/>
    <m/>
    <m/>
    <m/>
    <m/>
    <m/>
    <m/>
  </r>
  <r>
    <x v="11"/>
    <s v="York Technical College "/>
    <m/>
    <n v="218991"/>
    <x v="7"/>
    <n v="102927"/>
    <n v="97786"/>
    <n v="72586"/>
    <n v="65060"/>
    <n v="5344"/>
    <n v="5838"/>
    <n v="24919"/>
    <n v="78"/>
    <m/>
    <n v="26888"/>
    <m/>
    <m/>
    <m/>
    <m/>
    <n v="0"/>
    <n v="0"/>
    <m/>
    <m/>
    <m/>
    <m/>
    <m/>
    <m/>
    <m/>
    <m/>
    <m/>
    <m/>
    <m/>
    <m/>
  </r>
  <r>
    <x v="11"/>
    <s v="Aiken Technical College "/>
    <m/>
    <n v="217615"/>
    <x v="8"/>
    <n v="52334"/>
    <n v="49102"/>
    <n v="36607"/>
    <n v="34114"/>
    <n v="1560"/>
    <n v="1569"/>
    <n v="14167"/>
    <m/>
    <m/>
    <n v="13419"/>
    <m/>
    <m/>
    <m/>
    <m/>
    <n v="0"/>
    <n v="0"/>
    <m/>
    <m/>
    <m/>
    <m/>
    <m/>
    <m/>
    <m/>
    <m/>
    <m/>
    <m/>
    <m/>
    <m/>
  </r>
  <r>
    <x v="11"/>
    <s v="Denmark Technical College "/>
    <m/>
    <n v="217989"/>
    <x v="8"/>
    <n v="15064"/>
    <n v="13691"/>
    <n v="8529"/>
    <n v="6522"/>
    <n v="1818"/>
    <n v="1232"/>
    <n v="4717"/>
    <m/>
    <m/>
    <n v="5937"/>
    <m/>
    <m/>
    <m/>
    <m/>
    <n v="0"/>
    <n v="0"/>
    <m/>
    <m/>
    <m/>
    <m/>
    <m/>
    <m/>
    <m/>
    <m/>
    <m/>
    <m/>
    <m/>
    <m/>
  </r>
  <r>
    <x v="11"/>
    <s v="Northeastern Technical College "/>
    <m/>
    <n v="217837"/>
    <x v="8"/>
    <n v="21580"/>
    <n v="24755"/>
    <n v="8389"/>
    <n v="7449"/>
    <n v="1578"/>
    <n v="1755"/>
    <n v="7349"/>
    <n v="4264"/>
    <m/>
    <n v="11422"/>
    <n v="4129"/>
    <m/>
    <m/>
    <m/>
    <n v="0"/>
    <n v="0"/>
    <m/>
    <m/>
    <m/>
    <m/>
    <m/>
    <m/>
    <m/>
    <m/>
    <m/>
    <m/>
    <m/>
    <m/>
  </r>
  <r>
    <x v="11"/>
    <s v="Technical College of the Lowcountry"/>
    <m/>
    <n v="217712"/>
    <x v="8"/>
    <n v="46430"/>
    <n v="45401"/>
    <n v="29952"/>
    <n v="27231"/>
    <n v="2068"/>
    <n v="1729"/>
    <n v="14410"/>
    <m/>
    <m/>
    <n v="16441"/>
    <m/>
    <m/>
    <m/>
    <m/>
    <n v="0"/>
    <n v="0"/>
    <m/>
    <m/>
    <m/>
    <m/>
    <m/>
    <m/>
    <m/>
    <m/>
    <m/>
    <m/>
    <m/>
    <m/>
  </r>
  <r>
    <x v="11"/>
    <s v="University of South Carolina-Lancaster"/>
    <m/>
    <n v="218672"/>
    <x v="8"/>
    <n v="35357"/>
    <n v="33366"/>
    <n v="18615"/>
    <n v="25144"/>
    <n v="15035"/>
    <n v="6500"/>
    <n v="1707"/>
    <m/>
    <m/>
    <n v="1722"/>
    <m/>
    <m/>
    <m/>
    <m/>
    <n v="0"/>
    <n v="0"/>
    <m/>
    <m/>
    <m/>
    <m/>
    <m/>
    <m/>
    <m/>
    <m/>
    <m/>
    <m/>
    <m/>
    <m/>
  </r>
  <r>
    <x v="11"/>
    <s v="University of South Carolina-Salkehatchie"/>
    <m/>
    <n v="218681"/>
    <x v="8"/>
    <n v="21373"/>
    <n v="20505"/>
    <n v="15207"/>
    <n v="14468"/>
    <n v="3591"/>
    <n v="3034"/>
    <n v="2575"/>
    <m/>
    <m/>
    <n v="3003"/>
    <m/>
    <m/>
    <m/>
    <m/>
    <n v="0"/>
    <n v="0"/>
    <m/>
    <m/>
    <m/>
    <m/>
    <m/>
    <m/>
    <m/>
    <m/>
    <m/>
    <m/>
    <m/>
    <m/>
  </r>
  <r>
    <x v="11"/>
    <s v="University of South Carolina-Sumter"/>
    <m/>
    <n v="218690"/>
    <x v="8"/>
    <n v="21454"/>
    <n v="23229"/>
    <n v="17400"/>
    <n v="17239"/>
    <n v="1504"/>
    <n v="2615"/>
    <n v="2550"/>
    <m/>
    <m/>
    <n v="3375"/>
    <m/>
    <m/>
    <m/>
    <m/>
    <n v="0"/>
    <n v="0"/>
    <m/>
    <m/>
    <m/>
    <m/>
    <m/>
    <m/>
    <m/>
    <m/>
    <m/>
    <m/>
    <m/>
    <m/>
  </r>
  <r>
    <x v="11"/>
    <s v="University of South Carolina-Union"/>
    <m/>
    <n v="218706"/>
    <x v="8"/>
    <n v="15261"/>
    <n v="18318"/>
    <n v="7972"/>
    <n v="9669"/>
    <n v="7139"/>
    <n v="8607"/>
    <n v="150"/>
    <m/>
    <m/>
    <n v="42"/>
    <m/>
    <m/>
    <m/>
    <m/>
    <n v="0"/>
    <n v="0"/>
    <m/>
    <m/>
    <m/>
    <m/>
    <m/>
    <m/>
    <m/>
    <m/>
    <m/>
    <m/>
    <m/>
    <m/>
  </r>
  <r>
    <x v="11"/>
    <s v="Willamsburg Technical College "/>
    <m/>
    <n v="218955"/>
    <x v="8"/>
    <n v="13723"/>
    <n v="14780"/>
    <n v="10333"/>
    <n v="10786"/>
    <n v="2991"/>
    <n v="3112"/>
    <n v="399"/>
    <m/>
    <m/>
    <n v="882"/>
    <m/>
    <m/>
    <m/>
    <m/>
    <n v="0"/>
    <n v="0"/>
    <m/>
    <m/>
    <m/>
    <m/>
    <m/>
    <m/>
    <m/>
    <m/>
    <m/>
    <m/>
    <m/>
    <m/>
  </r>
  <r>
    <x v="12"/>
    <s v="University of Memphis"/>
    <m/>
    <n v="220862"/>
    <x v="0"/>
    <n v="414680"/>
    <n v="405823"/>
    <n v="283965"/>
    <n v="261130"/>
    <n v="18654"/>
    <n v="19140"/>
    <n v="77205"/>
    <n v="352"/>
    <n v="32389"/>
    <n v="88562"/>
    <n v="138"/>
    <n v="35045"/>
    <n v="2115"/>
    <n v="1808"/>
    <n v="60369"/>
    <n v="61806"/>
    <n v="35820"/>
    <n v="34604"/>
    <n v="276"/>
    <n v="114"/>
    <n v="18099"/>
    <n v="165"/>
    <n v="3236"/>
    <n v="20377"/>
    <n v="165"/>
    <n v="3385"/>
    <n v="2773"/>
    <n v="3161"/>
  </r>
  <r>
    <x v="12"/>
    <s v="University of Tennessee, Knoxville"/>
    <m/>
    <n v="221759"/>
    <x v="0"/>
    <n v="618176"/>
    <n v="629213"/>
    <n v="582865"/>
    <n v="586800"/>
    <n v="24"/>
    <n v="0"/>
    <n v="30185"/>
    <n v="0"/>
    <n v="1691"/>
    <n v="37535"/>
    <n v="0"/>
    <n v="1398"/>
    <n v="3411"/>
    <n v="3480"/>
    <n v="89553"/>
    <n v="89466"/>
    <n v="67797"/>
    <n v="67421"/>
    <n v="2771"/>
    <n v="2210"/>
    <n v="15650"/>
    <n v="6"/>
    <n v="1204"/>
    <n v="16620"/>
    <n v="0"/>
    <n v="1059"/>
    <n v="2125"/>
    <n v="2156"/>
  </r>
  <r>
    <x v="12"/>
    <s v="East Tennessee State University "/>
    <m/>
    <n v="220075"/>
    <x v="1"/>
    <n v="303195"/>
    <n v="304480"/>
    <n v="200728"/>
    <n v="192301"/>
    <n v="9984"/>
    <n v="11280"/>
    <n v="68339"/>
    <n v="6398"/>
    <n v="15736"/>
    <n v="75284"/>
    <n v="7020"/>
    <n v="16131"/>
    <n v="2010"/>
    <n v="2464"/>
    <n v="43302"/>
    <n v="45590"/>
    <n v="18041"/>
    <n v="18085"/>
    <n v="1410"/>
    <n v="1326"/>
    <n v="19738"/>
    <n v="267"/>
    <n v="1180"/>
    <n v="22285"/>
    <n v="240"/>
    <n v="1298"/>
    <n v="2666"/>
    <n v="2356"/>
  </r>
  <r>
    <x v="12"/>
    <s v="Middle Tennessee State University "/>
    <m/>
    <n v="220978"/>
    <x v="1"/>
    <n v="502421"/>
    <n v="499469"/>
    <n v="404411"/>
    <n v="392181"/>
    <n v="4166"/>
    <n v="5932"/>
    <n v="71150"/>
    <n v="289"/>
    <n v="18681"/>
    <n v="77579"/>
    <n v="103"/>
    <n v="19652"/>
    <n v="3724"/>
    <n v="4022"/>
    <n v="35833"/>
    <n v="35554"/>
    <n v="20599"/>
    <n v="19902"/>
    <n v="2698"/>
    <n v="2128"/>
    <n v="9838"/>
    <n v="0"/>
    <n v="886"/>
    <n v="11228"/>
    <n v="0"/>
    <n v="657"/>
    <n v="1812"/>
    <n v="1639"/>
  </r>
  <r>
    <x v="12"/>
    <s v="Tennessee State University "/>
    <m/>
    <n v="221838"/>
    <x v="1"/>
    <n v="180535"/>
    <n v="167380"/>
    <n v="142969"/>
    <n v="129995"/>
    <n v="20387"/>
    <n v="18872"/>
    <n v="14479"/>
    <n v="15"/>
    <n v="2194"/>
    <n v="15669"/>
    <n v="0"/>
    <n v="2397"/>
    <n v="491"/>
    <n v="447"/>
    <n v="24246"/>
    <n v="22810"/>
    <n v="11715"/>
    <n v="11288"/>
    <n v="5886"/>
    <n v="5681"/>
    <n v="5112"/>
    <n v="0"/>
    <n v="926"/>
    <n v="4413"/>
    <n v="0"/>
    <n v="892"/>
    <n v="607"/>
    <n v="536"/>
  </r>
  <r>
    <x v="12"/>
    <s v="Austin Peay State University "/>
    <m/>
    <n v="219602"/>
    <x v="2"/>
    <n v="240233"/>
    <n v="250666"/>
    <n v="150004"/>
    <n v="155276"/>
    <n v="10736"/>
    <n v="11898"/>
    <n v="62857"/>
    <n v="0"/>
    <n v="14770"/>
    <n v="68622"/>
    <n v="0"/>
    <n v="13101"/>
    <n v="1866"/>
    <n v="1769"/>
    <n v="14593"/>
    <n v="17800"/>
    <n v="4244"/>
    <n v="4925"/>
    <n v="109"/>
    <n v="42"/>
    <n v="9536"/>
    <n v="0"/>
    <n v="245"/>
    <n v="11911"/>
    <n v="0"/>
    <n v="533"/>
    <n v="459"/>
    <n v="389"/>
  </r>
  <r>
    <x v="12"/>
    <s v="Tennessee Technological University "/>
    <m/>
    <n v="221847"/>
    <x v="2"/>
    <n v="251766"/>
    <n v="247503"/>
    <n v="157641"/>
    <n v="149041"/>
    <n v="3583"/>
    <n v="6072"/>
    <n v="19529"/>
    <n v="0"/>
    <n v="67586"/>
    <n v="25178"/>
    <n v="0"/>
    <n v="63946"/>
    <n v="3427"/>
    <n v="3266"/>
    <n v="15547"/>
    <n v="16119"/>
    <n v="3590"/>
    <n v="3510"/>
    <n v="84"/>
    <n v="111"/>
    <n v="9203"/>
    <n v="0"/>
    <n v="1660"/>
    <n v="9617"/>
    <n v="0"/>
    <n v="1956"/>
    <n v="1010"/>
    <n v="925"/>
  </r>
  <r>
    <x v="12"/>
    <s v="University of Tennessee at Chattanooga"/>
    <m/>
    <n v="221740"/>
    <x v="2"/>
    <n v="277997"/>
    <n v="281364"/>
    <n v="224718"/>
    <n v="226507"/>
    <n v="2733"/>
    <n v="566"/>
    <n v="49482"/>
    <n v="0"/>
    <n v="18"/>
    <n v="53123"/>
    <n v="0"/>
    <n v="30"/>
    <n v="1046"/>
    <n v="1138"/>
    <n v="26381"/>
    <n v="27042"/>
    <n v="16732"/>
    <n v="16993"/>
    <n v="0"/>
    <n v="0"/>
    <n v="9404"/>
    <n v="6"/>
    <n v="0"/>
    <n v="9669"/>
    <n v="0"/>
    <n v="0"/>
    <n v="239"/>
    <n v="380"/>
  </r>
  <r>
    <x v="12"/>
    <s v="University of Tennessee at Martin"/>
    <s v="Met the criteria for Four-Year 4 in 2018-19."/>
    <n v="221768"/>
    <x v="4"/>
    <n v="164451"/>
    <n v="164329"/>
    <n v="132162"/>
    <n v="121607"/>
    <n v="7228"/>
    <n v="12912"/>
    <n v="21021"/>
    <n v="3829"/>
    <n v="24"/>
    <n v="25943"/>
    <n v="3647"/>
    <n v="53"/>
    <n v="187"/>
    <n v="167"/>
    <n v="6757"/>
    <n v="5602"/>
    <n v="880"/>
    <n v="824"/>
    <n v="0"/>
    <n v="0"/>
    <n v="5877"/>
    <n v="0"/>
    <n v="0"/>
    <n v="4775"/>
    <n v="0"/>
    <n v="3"/>
    <n v="0"/>
    <n v="0"/>
  </r>
  <r>
    <x v="12"/>
    <s v="Chattanooga State Technical Community College "/>
    <m/>
    <n v="219824"/>
    <x v="6"/>
    <n v="165710"/>
    <n v="166483"/>
    <n v="98756"/>
    <n v="98552"/>
    <n v="10749"/>
    <n v="10905"/>
    <n v="41416"/>
    <n v="0"/>
    <n v="14575"/>
    <n v="44075"/>
    <n v="0"/>
    <n v="12515"/>
    <n v="214"/>
    <n v="436"/>
    <n v="0"/>
    <n v="0"/>
    <m/>
    <m/>
    <m/>
    <m/>
    <m/>
    <m/>
    <m/>
    <m/>
    <m/>
    <m/>
    <m/>
    <m/>
  </r>
  <r>
    <x v="12"/>
    <s v="Nashville State Technical Community College"/>
    <m/>
    <n v="221184"/>
    <x v="6"/>
    <n v="164329"/>
    <n v="156830"/>
    <n v="62165"/>
    <n v="56816"/>
    <n v="61709"/>
    <n v="60531"/>
    <n v="36777"/>
    <n v="0"/>
    <n v="3552"/>
    <n v="35045"/>
    <n v="0"/>
    <n v="4244"/>
    <n v="126"/>
    <n v="194"/>
    <n v="0"/>
    <n v="0"/>
    <m/>
    <m/>
    <m/>
    <m/>
    <m/>
    <m/>
    <m/>
    <m/>
    <m/>
    <m/>
    <m/>
    <m/>
  </r>
  <r>
    <x v="12"/>
    <s v="Pellissippi State Technical Community College"/>
    <m/>
    <n v="221643"/>
    <x v="6"/>
    <n v="210687"/>
    <n v="220581"/>
    <n v="112782"/>
    <n v="113793"/>
    <n v="58784"/>
    <n v="60060"/>
    <n v="34029"/>
    <n v="354"/>
    <n v="4621"/>
    <n v="40285"/>
    <n v="0"/>
    <n v="6299"/>
    <n v="117"/>
    <n v="144"/>
    <n v="0"/>
    <n v="0"/>
    <m/>
    <m/>
    <m/>
    <m/>
    <m/>
    <m/>
    <m/>
    <m/>
    <m/>
    <m/>
    <m/>
    <m/>
  </r>
  <r>
    <x v="12"/>
    <s v="Southwest Tennessee Community College"/>
    <m/>
    <n v="221485"/>
    <x v="6"/>
    <n v="154526"/>
    <n v="161123"/>
    <n v="0"/>
    <n v="0"/>
    <n v="116551"/>
    <n v="115976"/>
    <n v="30354"/>
    <n v="0"/>
    <n v="7610"/>
    <n v="33705"/>
    <n v="0"/>
    <n v="11433"/>
    <n v="11"/>
    <n v="9"/>
    <n v="0"/>
    <n v="0"/>
    <m/>
    <m/>
    <m/>
    <m/>
    <m/>
    <m/>
    <m/>
    <m/>
    <m/>
    <m/>
    <m/>
    <m/>
  </r>
  <r>
    <x v="12"/>
    <s v="Volunteer State Community College "/>
    <m/>
    <n v="222053"/>
    <x v="6"/>
    <n v="176044"/>
    <n v="178496"/>
    <n v="91765"/>
    <n v="90896"/>
    <n v="30387"/>
    <n v="27106"/>
    <n v="46627"/>
    <n v="0"/>
    <n v="6919"/>
    <n v="51894"/>
    <n v="18"/>
    <n v="8126"/>
    <n v="346"/>
    <n v="456"/>
    <n v="0"/>
    <n v="0"/>
    <m/>
    <m/>
    <m/>
    <m/>
    <m/>
    <m/>
    <m/>
    <m/>
    <m/>
    <m/>
    <m/>
    <m/>
  </r>
  <r>
    <x v="12"/>
    <s v="Cleveland State Community College "/>
    <m/>
    <n v="219879"/>
    <x v="7"/>
    <n v="62404"/>
    <n v="62950"/>
    <n v="32938"/>
    <n v="30964"/>
    <n v="10254"/>
    <n v="10258"/>
    <n v="9740"/>
    <n v="9"/>
    <n v="8822"/>
    <n v="11612"/>
    <n v="81"/>
    <n v="9480"/>
    <n v="641"/>
    <n v="555"/>
    <n v="0"/>
    <n v="0"/>
    <m/>
    <m/>
    <m/>
    <m/>
    <m/>
    <m/>
    <m/>
    <m/>
    <m/>
    <m/>
    <m/>
    <m/>
  </r>
  <r>
    <x v="12"/>
    <s v="Columbia State Community College "/>
    <m/>
    <n v="219888"/>
    <x v="7"/>
    <n v="110124"/>
    <n v="119843"/>
    <n v="34457"/>
    <n v="35412"/>
    <n v="44049"/>
    <n v="47234"/>
    <n v="24537"/>
    <n v="1361"/>
    <n v="5584"/>
    <n v="27407"/>
    <n v="1107"/>
    <n v="8471"/>
    <n v="136"/>
    <n v="212"/>
    <n v="0"/>
    <n v="0"/>
    <m/>
    <m/>
    <m/>
    <m/>
    <m/>
    <m/>
    <m/>
    <m/>
    <m/>
    <m/>
    <m/>
    <m/>
  </r>
  <r>
    <x v="12"/>
    <s v="Jackson State Community College "/>
    <m/>
    <n v="220400"/>
    <x v="7"/>
    <n v="88858"/>
    <n v="89978"/>
    <n v="43568"/>
    <n v="43724"/>
    <n v="13637"/>
    <n v="12870"/>
    <n v="20215"/>
    <n v="3966"/>
    <n v="7439"/>
    <n v="21112"/>
    <n v="3386"/>
    <n v="8829"/>
    <n v="33"/>
    <n v="57"/>
    <n v="0"/>
    <n v="0"/>
    <m/>
    <m/>
    <m/>
    <m/>
    <m/>
    <m/>
    <m/>
    <m/>
    <m/>
    <m/>
    <m/>
    <m/>
  </r>
  <r>
    <x v="12"/>
    <s v="Motlow State Community College "/>
    <m/>
    <n v="221096"/>
    <x v="7"/>
    <n v="129107"/>
    <n v="130665"/>
    <n v="24605"/>
    <n v="22707"/>
    <n v="67186"/>
    <n v="66099"/>
    <n v="26343"/>
    <n v="6838"/>
    <n v="3824"/>
    <n v="32415"/>
    <n v="5607"/>
    <n v="3589"/>
    <n v="311"/>
    <n v="248"/>
    <n v="0"/>
    <n v="0"/>
    <m/>
    <m/>
    <m/>
    <m/>
    <m/>
    <m/>
    <m/>
    <m/>
    <m/>
    <m/>
    <m/>
    <m/>
  </r>
  <r>
    <x v="12"/>
    <s v="Northeast State Technical Community College"/>
    <m/>
    <n v="221908"/>
    <x v="7"/>
    <n v="122546"/>
    <n v="123242"/>
    <n v="64986"/>
    <n v="64517"/>
    <n v="37077"/>
    <n v="35714"/>
    <n v="15553"/>
    <n v="2015"/>
    <n v="2786"/>
    <n v="17016"/>
    <n v="2502"/>
    <n v="3145"/>
    <n v="129"/>
    <n v="348"/>
    <n v="0"/>
    <n v="0"/>
    <m/>
    <m/>
    <m/>
    <m/>
    <m/>
    <m/>
    <m/>
    <m/>
    <m/>
    <m/>
    <m/>
    <m/>
  </r>
  <r>
    <x v="12"/>
    <s v="Roane State Community College "/>
    <m/>
    <n v="221397"/>
    <x v="7"/>
    <n v="109148"/>
    <n v="108604"/>
    <n v="16513"/>
    <n v="15281"/>
    <n v="56341"/>
    <n v="53090"/>
    <n v="24163"/>
    <n v="4318"/>
    <n v="7776"/>
    <n v="26732"/>
    <n v="4383"/>
    <n v="9101"/>
    <n v="37"/>
    <n v="17"/>
    <n v="0"/>
    <n v="0"/>
    <m/>
    <m/>
    <m/>
    <m/>
    <m/>
    <m/>
    <m/>
    <m/>
    <m/>
    <m/>
    <m/>
    <m/>
  </r>
  <r>
    <x v="12"/>
    <s v="Walters State Community College "/>
    <m/>
    <n v="222062"/>
    <x v="7"/>
    <n v="115636"/>
    <n v="115782"/>
    <n v="44702"/>
    <n v="43547"/>
    <n v="43870"/>
    <n v="42733"/>
    <n v="19005"/>
    <n v="6076"/>
    <n v="1965"/>
    <n v="21439"/>
    <n v="6109"/>
    <n v="1942"/>
    <n v="18"/>
    <n v="12"/>
    <n v="0"/>
    <n v="0"/>
    <m/>
    <m/>
    <m/>
    <m/>
    <m/>
    <m/>
    <m/>
    <m/>
    <m/>
    <m/>
    <m/>
    <m/>
  </r>
  <r>
    <x v="12"/>
    <s v="Dyersburg State Community College "/>
    <m/>
    <n v="220057"/>
    <x v="8"/>
    <n v="50263"/>
    <n v="51313"/>
    <n v="15580"/>
    <n v="15105"/>
    <n v="20756"/>
    <n v="20231"/>
    <n v="10328"/>
    <n v="2178"/>
    <n v="1248"/>
    <n v="11824"/>
    <n v="2906"/>
    <n v="981"/>
    <n v="173"/>
    <n v="266"/>
    <n v="0"/>
    <n v="0"/>
    <m/>
    <m/>
    <m/>
    <m/>
    <m/>
    <m/>
    <m/>
    <m/>
    <m/>
    <m/>
    <m/>
    <m/>
  </r>
  <r>
    <x v="12"/>
    <s v="Tennessee College of Applied Technology at Chattanooga"/>
    <s v="Met the criteria for Technical Institute or College 2 in 2017-18 and 2018-19."/>
    <s v="219824B"/>
    <x v="9"/>
    <n v="0"/>
    <n v="0"/>
    <m/>
    <m/>
    <m/>
    <m/>
    <m/>
    <m/>
    <m/>
    <m/>
    <m/>
    <m/>
    <m/>
    <m/>
    <n v="0"/>
    <n v="0"/>
    <m/>
    <m/>
    <m/>
    <m/>
    <m/>
    <m/>
    <m/>
    <m/>
    <m/>
    <m/>
    <m/>
    <m/>
  </r>
  <r>
    <x v="12"/>
    <s v="Tennessee College of Applied Technology at Athens"/>
    <m/>
    <n v="219596"/>
    <x v="10"/>
    <n v="0"/>
    <n v="0"/>
    <m/>
    <m/>
    <m/>
    <m/>
    <m/>
    <m/>
    <m/>
    <m/>
    <m/>
    <m/>
    <m/>
    <m/>
    <n v="0"/>
    <n v="0"/>
    <m/>
    <m/>
    <m/>
    <m/>
    <m/>
    <m/>
    <m/>
    <m/>
    <m/>
    <m/>
    <m/>
    <m/>
  </r>
  <r>
    <x v="12"/>
    <s v="Tennessee College of Applied Technology at Covington"/>
    <m/>
    <n v="219921"/>
    <x v="10"/>
    <n v="0"/>
    <n v="0"/>
    <m/>
    <m/>
    <m/>
    <m/>
    <m/>
    <m/>
    <m/>
    <m/>
    <m/>
    <m/>
    <m/>
    <m/>
    <n v="0"/>
    <n v="0"/>
    <m/>
    <m/>
    <m/>
    <m/>
    <m/>
    <m/>
    <m/>
    <m/>
    <m/>
    <m/>
    <m/>
    <m/>
  </r>
  <r>
    <x v="12"/>
    <s v="Tennessee College of Applied Technology at Crossville"/>
    <m/>
    <n v="221591"/>
    <x v="10"/>
    <n v="0"/>
    <n v="0"/>
    <m/>
    <m/>
    <m/>
    <m/>
    <m/>
    <m/>
    <m/>
    <m/>
    <m/>
    <m/>
    <m/>
    <m/>
    <n v="0"/>
    <n v="0"/>
    <m/>
    <m/>
    <m/>
    <m/>
    <m/>
    <m/>
    <m/>
    <m/>
    <m/>
    <m/>
    <m/>
    <m/>
  </r>
  <r>
    <x v="12"/>
    <s v="Tennessee College of Applied Technology at Crump"/>
    <m/>
    <n v="221430"/>
    <x v="10"/>
    <n v="0"/>
    <n v="0"/>
    <m/>
    <m/>
    <m/>
    <m/>
    <m/>
    <m/>
    <m/>
    <m/>
    <m/>
    <m/>
    <m/>
    <m/>
    <n v="0"/>
    <n v="0"/>
    <m/>
    <m/>
    <m/>
    <m/>
    <m/>
    <m/>
    <m/>
    <m/>
    <m/>
    <m/>
    <m/>
    <m/>
  </r>
  <r>
    <x v="12"/>
    <s v="Tennessee College of Applied Technology at Dickson"/>
    <m/>
    <n v="219994"/>
    <x v="10"/>
    <n v="0"/>
    <n v="0"/>
    <m/>
    <m/>
    <m/>
    <m/>
    <m/>
    <m/>
    <m/>
    <m/>
    <m/>
    <m/>
    <m/>
    <m/>
    <n v="0"/>
    <n v="0"/>
    <m/>
    <m/>
    <m/>
    <m/>
    <m/>
    <m/>
    <m/>
    <m/>
    <m/>
    <m/>
    <m/>
    <m/>
  </r>
  <r>
    <x v="12"/>
    <s v="Tennessee College of Applied Technology at Elizabethton"/>
    <m/>
    <n v="220127"/>
    <x v="10"/>
    <n v="0"/>
    <n v="0"/>
    <m/>
    <m/>
    <m/>
    <m/>
    <m/>
    <m/>
    <m/>
    <m/>
    <m/>
    <m/>
    <m/>
    <m/>
    <n v="0"/>
    <n v="0"/>
    <m/>
    <m/>
    <m/>
    <m/>
    <m/>
    <m/>
    <m/>
    <m/>
    <m/>
    <m/>
    <m/>
    <m/>
  </r>
  <r>
    <x v="12"/>
    <s v="Tennessee College of Applied Technology at Harriman"/>
    <m/>
    <n v="220251"/>
    <x v="10"/>
    <n v="0"/>
    <n v="0"/>
    <m/>
    <m/>
    <m/>
    <m/>
    <m/>
    <m/>
    <m/>
    <m/>
    <m/>
    <m/>
    <m/>
    <m/>
    <n v="0"/>
    <n v="0"/>
    <m/>
    <m/>
    <m/>
    <m/>
    <m/>
    <m/>
    <m/>
    <m/>
    <m/>
    <m/>
    <m/>
    <m/>
  </r>
  <r>
    <x v="12"/>
    <s v="Tennessee College of Applied Technology at Hartsville"/>
    <m/>
    <n v="220279"/>
    <x v="10"/>
    <n v="0"/>
    <n v="0"/>
    <m/>
    <m/>
    <m/>
    <m/>
    <m/>
    <m/>
    <m/>
    <m/>
    <m/>
    <m/>
    <m/>
    <m/>
    <n v="0"/>
    <n v="0"/>
    <m/>
    <m/>
    <m/>
    <m/>
    <m/>
    <m/>
    <m/>
    <m/>
    <m/>
    <m/>
    <m/>
    <m/>
  </r>
  <r>
    <x v="12"/>
    <s v="Tennessee College of Applied Technology at Hohenwald"/>
    <m/>
    <n v="220321"/>
    <x v="10"/>
    <n v="0"/>
    <n v="0"/>
    <m/>
    <m/>
    <m/>
    <m/>
    <m/>
    <m/>
    <m/>
    <m/>
    <m/>
    <m/>
    <m/>
    <m/>
    <n v="0"/>
    <n v="0"/>
    <m/>
    <m/>
    <m/>
    <m/>
    <m/>
    <m/>
    <m/>
    <m/>
    <m/>
    <m/>
    <m/>
    <m/>
  </r>
  <r>
    <x v="12"/>
    <s v="Tennessee College of Applied Technology at Jacksboro"/>
    <m/>
    <n v="220394"/>
    <x v="10"/>
    <n v="0"/>
    <n v="0"/>
    <m/>
    <m/>
    <m/>
    <m/>
    <m/>
    <m/>
    <m/>
    <m/>
    <m/>
    <m/>
    <m/>
    <m/>
    <n v="0"/>
    <n v="0"/>
    <m/>
    <m/>
    <m/>
    <m/>
    <m/>
    <m/>
    <m/>
    <m/>
    <m/>
    <m/>
    <m/>
    <m/>
  </r>
  <r>
    <x v="12"/>
    <s v="Tennessee College of Applied Technology at Jackson"/>
    <m/>
    <n v="221616"/>
    <x v="10"/>
    <n v="0"/>
    <n v="0"/>
    <m/>
    <m/>
    <m/>
    <m/>
    <m/>
    <m/>
    <m/>
    <m/>
    <m/>
    <m/>
    <m/>
    <m/>
    <n v="0"/>
    <n v="0"/>
    <m/>
    <m/>
    <m/>
    <m/>
    <m/>
    <m/>
    <m/>
    <m/>
    <m/>
    <m/>
    <m/>
    <m/>
  </r>
  <r>
    <x v="12"/>
    <s v="Tennessee College of Applied Technology at Knoxville"/>
    <m/>
    <n v="221625"/>
    <x v="10"/>
    <n v="0"/>
    <n v="0"/>
    <m/>
    <m/>
    <m/>
    <m/>
    <m/>
    <m/>
    <m/>
    <m/>
    <m/>
    <m/>
    <m/>
    <m/>
    <n v="0"/>
    <n v="0"/>
    <m/>
    <m/>
    <m/>
    <m/>
    <m/>
    <m/>
    <m/>
    <m/>
    <m/>
    <m/>
    <m/>
    <m/>
  </r>
  <r>
    <x v="12"/>
    <s v="Tennessee College of Applied Technology at Livingston"/>
    <m/>
    <n v="220640"/>
    <x v="10"/>
    <n v="0"/>
    <n v="0"/>
    <m/>
    <m/>
    <m/>
    <m/>
    <m/>
    <m/>
    <m/>
    <m/>
    <m/>
    <m/>
    <m/>
    <m/>
    <n v="0"/>
    <n v="0"/>
    <m/>
    <m/>
    <m/>
    <m/>
    <m/>
    <m/>
    <m/>
    <m/>
    <m/>
    <m/>
    <m/>
    <m/>
  </r>
  <r>
    <x v="12"/>
    <s v="Tennessee College of Applied Technology at McKenzie"/>
    <m/>
    <n v="220756"/>
    <x v="10"/>
    <n v="0"/>
    <n v="0"/>
    <m/>
    <m/>
    <m/>
    <m/>
    <m/>
    <m/>
    <m/>
    <m/>
    <m/>
    <m/>
    <m/>
    <m/>
    <n v="0"/>
    <n v="0"/>
    <m/>
    <m/>
    <m/>
    <m/>
    <m/>
    <m/>
    <m/>
    <m/>
    <m/>
    <m/>
    <m/>
    <m/>
  </r>
  <r>
    <x v="12"/>
    <s v="Tennessee College of Applied Technology at McMinnville"/>
    <m/>
    <n v="221607"/>
    <x v="10"/>
    <n v="0"/>
    <n v="0"/>
    <m/>
    <m/>
    <m/>
    <m/>
    <m/>
    <m/>
    <m/>
    <m/>
    <m/>
    <m/>
    <m/>
    <m/>
    <n v="0"/>
    <n v="0"/>
    <m/>
    <m/>
    <m/>
    <m/>
    <m/>
    <m/>
    <m/>
    <m/>
    <m/>
    <m/>
    <m/>
    <m/>
  </r>
  <r>
    <x v="12"/>
    <s v="Tennessee College of Applied Technology at Memphis"/>
    <m/>
    <n v="220853"/>
    <x v="10"/>
    <n v="0"/>
    <n v="0"/>
    <m/>
    <m/>
    <m/>
    <m/>
    <m/>
    <m/>
    <m/>
    <m/>
    <m/>
    <m/>
    <m/>
    <m/>
    <n v="0"/>
    <n v="0"/>
    <m/>
    <m/>
    <m/>
    <m/>
    <m/>
    <m/>
    <m/>
    <m/>
    <m/>
    <m/>
    <m/>
    <m/>
  </r>
  <r>
    <x v="12"/>
    <s v="Tennessee College of Applied Technology at Morristown"/>
    <m/>
    <n v="221050"/>
    <x v="10"/>
    <n v="0"/>
    <n v="0"/>
    <m/>
    <m/>
    <m/>
    <m/>
    <m/>
    <m/>
    <m/>
    <m/>
    <m/>
    <m/>
    <m/>
    <m/>
    <n v="0"/>
    <n v="0"/>
    <m/>
    <m/>
    <m/>
    <m/>
    <m/>
    <m/>
    <m/>
    <m/>
    <m/>
    <m/>
    <m/>
    <m/>
  </r>
  <r>
    <x v="12"/>
    <s v="Tennessee College of Applied Technology at Murfreesboro"/>
    <m/>
    <n v="221102"/>
    <x v="10"/>
    <n v="0"/>
    <n v="0"/>
    <m/>
    <m/>
    <m/>
    <m/>
    <m/>
    <m/>
    <m/>
    <m/>
    <m/>
    <m/>
    <m/>
    <m/>
    <n v="0"/>
    <n v="0"/>
    <m/>
    <m/>
    <m/>
    <m/>
    <m/>
    <m/>
    <m/>
    <m/>
    <m/>
    <m/>
    <m/>
    <m/>
  </r>
  <r>
    <x v="12"/>
    <s v="Tennessee College of Applied Technology at Nashville"/>
    <m/>
    <n v="248925"/>
    <x v="10"/>
    <n v="0"/>
    <n v="0"/>
    <m/>
    <m/>
    <m/>
    <m/>
    <m/>
    <m/>
    <m/>
    <m/>
    <m/>
    <m/>
    <m/>
    <m/>
    <n v="0"/>
    <n v="0"/>
    <m/>
    <m/>
    <m/>
    <m/>
    <m/>
    <m/>
    <m/>
    <m/>
    <m/>
    <m/>
    <m/>
    <m/>
  </r>
  <r>
    <x v="12"/>
    <s v="Tennessee College of Applied Technology at Newbern"/>
    <m/>
    <n v="221236"/>
    <x v="10"/>
    <n v="0"/>
    <n v="0"/>
    <m/>
    <m/>
    <m/>
    <m/>
    <m/>
    <m/>
    <m/>
    <m/>
    <m/>
    <m/>
    <m/>
    <m/>
    <n v="0"/>
    <n v="0"/>
    <m/>
    <m/>
    <m/>
    <m/>
    <m/>
    <m/>
    <m/>
    <m/>
    <m/>
    <m/>
    <m/>
    <m/>
  </r>
  <r>
    <x v="12"/>
    <s v="Tennessee College of Applied Technology at Oneida"/>
    <m/>
    <n v="221582"/>
    <x v="10"/>
    <n v="0"/>
    <n v="0"/>
    <m/>
    <m/>
    <m/>
    <m/>
    <m/>
    <m/>
    <m/>
    <m/>
    <m/>
    <m/>
    <m/>
    <m/>
    <n v="0"/>
    <n v="0"/>
    <m/>
    <m/>
    <m/>
    <m/>
    <m/>
    <m/>
    <m/>
    <m/>
    <m/>
    <m/>
    <m/>
    <m/>
  </r>
  <r>
    <x v="12"/>
    <s v="Tennessee College of Applied Technology at Paris"/>
    <m/>
    <n v="221281"/>
    <x v="10"/>
    <n v="0"/>
    <n v="0"/>
    <m/>
    <m/>
    <m/>
    <m/>
    <m/>
    <m/>
    <m/>
    <m/>
    <m/>
    <m/>
    <m/>
    <m/>
    <n v="0"/>
    <n v="0"/>
    <m/>
    <m/>
    <m/>
    <m/>
    <m/>
    <m/>
    <m/>
    <m/>
    <m/>
    <m/>
    <m/>
    <m/>
  </r>
  <r>
    <x v="12"/>
    <s v="Tennessee College of Applied Technology at Pulaski"/>
    <m/>
    <n v="221333"/>
    <x v="10"/>
    <n v="0"/>
    <n v="0"/>
    <m/>
    <m/>
    <m/>
    <m/>
    <m/>
    <m/>
    <m/>
    <m/>
    <m/>
    <m/>
    <m/>
    <m/>
    <n v="0"/>
    <n v="0"/>
    <m/>
    <m/>
    <m/>
    <m/>
    <m/>
    <m/>
    <m/>
    <m/>
    <m/>
    <m/>
    <m/>
    <m/>
  </r>
  <r>
    <x v="12"/>
    <s v="Tennessee College of Applied Technology at Ripley"/>
    <m/>
    <n v="221388"/>
    <x v="10"/>
    <n v="0"/>
    <n v="0"/>
    <m/>
    <m/>
    <m/>
    <m/>
    <m/>
    <m/>
    <m/>
    <m/>
    <m/>
    <m/>
    <m/>
    <m/>
    <n v="0"/>
    <n v="0"/>
    <m/>
    <m/>
    <m/>
    <m/>
    <m/>
    <m/>
    <m/>
    <m/>
    <m/>
    <m/>
    <m/>
    <m/>
  </r>
  <r>
    <x v="12"/>
    <s v="Tennessee College of Applied Technology at Shelbyville"/>
    <m/>
    <n v="221494"/>
    <x v="10"/>
    <n v="0"/>
    <n v="0"/>
    <m/>
    <m/>
    <m/>
    <m/>
    <m/>
    <m/>
    <m/>
    <m/>
    <m/>
    <m/>
    <m/>
    <m/>
    <n v="0"/>
    <n v="0"/>
    <m/>
    <m/>
    <m/>
    <m/>
    <m/>
    <m/>
    <m/>
    <m/>
    <m/>
    <m/>
    <m/>
    <m/>
  </r>
  <r>
    <x v="12"/>
    <s v="Tennessee College of Applied Technology at Whiteville"/>
    <m/>
    <n v="221634"/>
    <x v="10"/>
    <n v="0"/>
    <n v="0"/>
    <m/>
    <m/>
    <m/>
    <m/>
    <m/>
    <m/>
    <m/>
    <m/>
    <m/>
    <m/>
    <m/>
    <m/>
    <n v="0"/>
    <n v="0"/>
    <m/>
    <m/>
    <m/>
    <m/>
    <m/>
    <m/>
    <m/>
    <m/>
    <m/>
    <m/>
    <m/>
    <m/>
  </r>
  <r>
    <x v="13"/>
    <s v="Texas A &amp; M University "/>
    <m/>
    <n v="228723"/>
    <x v="0"/>
    <n v="1321004"/>
    <n v="1347876"/>
    <n v="1149447"/>
    <n v="1146406"/>
    <n v="11928"/>
    <n v="17346"/>
    <n v="147908"/>
    <n v="0"/>
    <n v="11721"/>
    <n v="173472"/>
    <n v="44"/>
    <n v="10608"/>
    <m/>
    <m/>
    <n v="224212"/>
    <n v="226862"/>
    <n v="185431"/>
    <n v="185610"/>
    <n v="5865"/>
    <n v="6357"/>
    <n v="28409"/>
    <n v="0"/>
    <n v="4507"/>
    <n v="30815"/>
    <n v="91"/>
    <n v="3989"/>
    <m/>
    <m/>
  </r>
  <r>
    <x v="13"/>
    <s v="Texas Tech University "/>
    <m/>
    <n v="229115"/>
    <x v="0"/>
    <n v="810366"/>
    <n v="836850"/>
    <n v="642108"/>
    <n v="647423"/>
    <n v="11203"/>
    <n v="9054"/>
    <n v="155953"/>
    <n v="1102"/>
    <n v="0"/>
    <n v="179836"/>
    <n v="537"/>
    <n v="0"/>
    <m/>
    <m/>
    <n v="122224"/>
    <n v="118252"/>
    <n v="87142"/>
    <n v="83855"/>
    <n v="1121"/>
    <n v="1718"/>
    <n v="33889"/>
    <n v="72"/>
    <n v="0"/>
    <n v="32670"/>
    <n v="9"/>
    <n v="0"/>
    <m/>
    <m/>
  </r>
  <r>
    <x v="13"/>
    <s v="University of Houston"/>
    <m/>
    <n v="225511"/>
    <x v="0"/>
    <n v="920538"/>
    <n v="954406"/>
    <n v="669019"/>
    <n v="680024"/>
    <n v="19101"/>
    <n v="15752"/>
    <n v="232349"/>
    <n v="69"/>
    <n v="0"/>
    <n v="258612"/>
    <n v="18"/>
    <n v="0"/>
    <m/>
    <m/>
    <n v="175307"/>
    <n v="173786"/>
    <n v="156995"/>
    <n v="150754"/>
    <n v="2269"/>
    <n v="1839"/>
    <n v="15866"/>
    <n v="177"/>
    <n v="0"/>
    <n v="21031"/>
    <n v="162"/>
    <n v="0"/>
    <m/>
    <m/>
  </r>
  <r>
    <x v="13"/>
    <s v="University of North Texas"/>
    <m/>
    <n v="227216"/>
    <x v="0"/>
    <n v="811284"/>
    <n v="818557"/>
    <n v="669560"/>
    <n v="645273"/>
    <n v="4769"/>
    <n v="5097"/>
    <n v="136907"/>
    <n v="30"/>
    <n v="18"/>
    <n v="168073"/>
    <n v="108"/>
    <n v="6"/>
    <m/>
    <m/>
    <n v="105086"/>
    <n v="104303"/>
    <n v="63999"/>
    <n v="63133"/>
    <n v="760"/>
    <n v="1323"/>
    <n v="40309"/>
    <n v="18"/>
    <n v="0"/>
    <n v="39769"/>
    <n v="78"/>
    <n v="0"/>
    <m/>
    <m/>
  </r>
  <r>
    <x v="13"/>
    <s v="University of Texas at Arlington"/>
    <m/>
    <n v="228769"/>
    <x v="0"/>
    <n v="708058"/>
    <n v="733402"/>
    <n v="488588"/>
    <n v="500334"/>
    <n v="2414"/>
    <n v="3432"/>
    <n v="217041"/>
    <n v="15"/>
    <n v="0"/>
    <n v="229543"/>
    <n v="93"/>
    <n v="0"/>
    <m/>
    <m/>
    <n v="214094"/>
    <n v="211630"/>
    <n v="93213"/>
    <n v="82000"/>
    <n v="5979"/>
    <n v="4981"/>
    <n v="114899"/>
    <n v="3"/>
    <n v="0"/>
    <n v="124646"/>
    <n v="3"/>
    <n v="0"/>
    <m/>
    <m/>
  </r>
  <r>
    <x v="13"/>
    <s v="University of Texas at Austin"/>
    <m/>
    <n v="228778"/>
    <x v="0"/>
    <n v="1089970"/>
    <n v="1100734"/>
    <n v="991445"/>
    <n v="988638"/>
    <n v="6048"/>
    <n v="6459"/>
    <n v="58331"/>
    <n v="34092"/>
    <n v="54"/>
    <n v="71254"/>
    <n v="34362"/>
    <n v="21"/>
    <m/>
    <m/>
    <n v="239440"/>
    <n v="239687"/>
    <n v="233743"/>
    <n v="232281"/>
    <n v="671"/>
    <n v="1523"/>
    <n v="2470"/>
    <n v="1653"/>
    <n v="903"/>
    <n v="3538"/>
    <n v="1597"/>
    <n v="748"/>
    <m/>
    <m/>
  </r>
  <r>
    <x v="13"/>
    <s v="University of Texas at Dallas"/>
    <m/>
    <n v="228787"/>
    <x v="0"/>
    <n v="476193"/>
    <n v="510701"/>
    <n v="446482"/>
    <n v="477428"/>
    <n v="4292"/>
    <n v="4172"/>
    <n v="25419"/>
    <n v="0"/>
    <n v="0"/>
    <n v="29101"/>
    <n v="0"/>
    <n v="0"/>
    <m/>
    <m/>
    <n v="161601"/>
    <n v="154462"/>
    <n v="143482"/>
    <n v="135511"/>
    <n v="681"/>
    <n v="680"/>
    <n v="17438"/>
    <n v="0"/>
    <n v="0"/>
    <n v="18271"/>
    <n v="0"/>
    <n v="0"/>
    <m/>
    <m/>
  </r>
  <r>
    <x v="13"/>
    <s v="University of Texas at San Antonio"/>
    <m/>
    <n v="229027"/>
    <x v="0"/>
    <n v="653870"/>
    <n v="694905"/>
    <n v="572055"/>
    <n v="583394"/>
    <n v="2272"/>
    <n v="2282"/>
    <n v="78949"/>
    <n v="360"/>
    <n v="234"/>
    <n v="108503"/>
    <n v="249"/>
    <n v="477"/>
    <m/>
    <m/>
    <n v="68875"/>
    <n v="68536"/>
    <n v="58092"/>
    <n v="59309"/>
    <n v="2764"/>
    <n v="2119"/>
    <n v="8019"/>
    <n v="0"/>
    <n v="0"/>
    <n v="7108"/>
    <n v="0"/>
    <n v="0"/>
    <m/>
    <m/>
  </r>
  <r>
    <x v="13"/>
    <s v="Texas State University"/>
    <m/>
    <n v="228459"/>
    <x v="1"/>
    <n v="874668"/>
    <n v="876678"/>
    <n v="783119"/>
    <n v="765656"/>
    <n v="28080"/>
    <n v="28784"/>
    <n v="63010"/>
    <n v="414"/>
    <n v="45"/>
    <n v="81777"/>
    <n v="379"/>
    <n v="82"/>
    <m/>
    <m/>
    <n v="75155"/>
    <n v="73320"/>
    <n v="48806"/>
    <n v="43246"/>
    <n v="10876"/>
    <n v="12166"/>
    <n v="14391"/>
    <n v="684"/>
    <n v="398"/>
    <n v="16794"/>
    <n v="726"/>
    <n v="388"/>
    <m/>
    <m/>
  </r>
  <r>
    <x v="13"/>
    <s v="Texas Woman's University"/>
    <m/>
    <n v="229179"/>
    <x v="1"/>
    <n v="242611"/>
    <n v="246337"/>
    <n v="158600"/>
    <n v="154484"/>
    <n v="7477"/>
    <n v="8754"/>
    <n v="76534"/>
    <n v="0"/>
    <n v="0"/>
    <n v="83063"/>
    <n v="36"/>
    <n v="0"/>
    <m/>
    <m/>
    <n v="93586"/>
    <n v="92115"/>
    <n v="46731"/>
    <n v="46289"/>
    <n v="315"/>
    <n v="379"/>
    <n v="45346"/>
    <n v="1194"/>
    <n v="0"/>
    <n v="44722"/>
    <n v="725"/>
    <n v="0"/>
    <m/>
    <m/>
  </r>
  <r>
    <x v="13"/>
    <s v="University of Texas at El Paso"/>
    <s v="Met the criteria for Four-Year 1 in 2017-1 and 2018-19."/>
    <n v="228796"/>
    <x v="1"/>
    <n v="509419"/>
    <n v="518082"/>
    <n v="418745"/>
    <n v="426574"/>
    <n v="1159"/>
    <n v="1483"/>
    <n v="89515"/>
    <n v="0"/>
    <n v="0"/>
    <n v="90025"/>
    <n v="0"/>
    <n v="0"/>
    <m/>
    <m/>
    <n v="58545"/>
    <n v="61825"/>
    <n v="35138"/>
    <n v="38251"/>
    <n v="1073"/>
    <n v="483"/>
    <n v="22334"/>
    <n v="0"/>
    <n v="0"/>
    <n v="23091"/>
    <n v="0"/>
    <n v="0"/>
    <m/>
    <m/>
  </r>
  <r>
    <x v="13"/>
    <s v="Angelo State University"/>
    <m/>
    <n v="222831"/>
    <x v="2"/>
    <n v="184109"/>
    <n v="191734"/>
    <n v="156479"/>
    <n v="158260"/>
    <n v="0"/>
    <n v="0"/>
    <n v="27630"/>
    <n v="0"/>
    <n v="0"/>
    <n v="33474"/>
    <n v="0"/>
    <n v="0"/>
    <m/>
    <m/>
    <n v="28680"/>
    <n v="29757"/>
    <n v="5590"/>
    <n v="6126"/>
    <n v="0"/>
    <n v="0"/>
    <n v="23090"/>
    <n v="0"/>
    <n v="0"/>
    <n v="23631"/>
    <n v="0"/>
    <n v="0"/>
    <m/>
    <m/>
  </r>
  <r>
    <x v="13"/>
    <s v="Lamar University"/>
    <m/>
    <n v="226091"/>
    <x v="2"/>
    <n v="227875"/>
    <n v="222801"/>
    <n v="149996"/>
    <n v="140748"/>
    <n v="288"/>
    <n v="0"/>
    <n v="77591"/>
    <n v="0"/>
    <n v="0"/>
    <n v="82053"/>
    <n v="0"/>
    <n v="0"/>
    <m/>
    <m/>
    <n v="108868"/>
    <n v="110541"/>
    <n v="14603"/>
    <n v="11703"/>
    <n v="0"/>
    <n v="0"/>
    <n v="94265"/>
    <n v="0"/>
    <n v="0"/>
    <n v="98838"/>
    <n v="0"/>
    <n v="0"/>
    <m/>
    <m/>
  </r>
  <r>
    <x v="13"/>
    <s v="Midwestern State University"/>
    <m/>
    <n v="226833"/>
    <x v="2"/>
    <n v="127691"/>
    <n v="129481"/>
    <n v="104696"/>
    <n v="100933"/>
    <n v="1218"/>
    <n v="1394"/>
    <n v="21727"/>
    <n v="50"/>
    <n v="0"/>
    <n v="27143"/>
    <n v="11"/>
    <n v="0"/>
    <m/>
    <m/>
    <n v="10174"/>
    <n v="10416"/>
    <n v="3841"/>
    <n v="2868"/>
    <n v="21"/>
    <n v="21"/>
    <n v="6312"/>
    <n v="0"/>
    <n v="0"/>
    <n v="7527"/>
    <n v="0"/>
    <n v="0"/>
    <m/>
    <m/>
  </r>
  <r>
    <x v="13"/>
    <s v="Prairie View A &amp; M University"/>
    <m/>
    <n v="227526"/>
    <x v="2"/>
    <n v="213590"/>
    <n v="232521"/>
    <n v="194375"/>
    <n v="213605"/>
    <n v="8541"/>
    <n v="8245"/>
    <n v="10548"/>
    <n v="126"/>
    <n v="0"/>
    <n v="10593"/>
    <n v="78"/>
    <n v="0"/>
    <m/>
    <m/>
    <n v="21439"/>
    <n v="18462"/>
    <n v="8406"/>
    <n v="7732"/>
    <n v="3994"/>
    <n v="3551"/>
    <n v="9030"/>
    <n v="9"/>
    <n v="0"/>
    <n v="7179"/>
    <n v="0"/>
    <n v="0"/>
    <m/>
    <m/>
  </r>
  <r>
    <x v="13"/>
    <s v="Sam Houston State University "/>
    <m/>
    <n v="227881"/>
    <x v="2"/>
    <n v="481856"/>
    <n v="496880"/>
    <n v="362379"/>
    <n v="358765"/>
    <n v="2302"/>
    <n v="4897"/>
    <n v="117175"/>
    <n v="0"/>
    <n v="0"/>
    <n v="133218"/>
    <n v="0"/>
    <n v="0"/>
    <m/>
    <m/>
    <n v="39757"/>
    <n v="40162"/>
    <n v="16707"/>
    <n v="15896"/>
    <n v="87"/>
    <n v="120"/>
    <n v="22942"/>
    <n v="21"/>
    <n v="0"/>
    <n v="24146"/>
    <n v="0"/>
    <n v="0"/>
    <m/>
    <m/>
  </r>
  <r>
    <x v="13"/>
    <s v="Stephen F. Austin State University"/>
    <m/>
    <n v="228431"/>
    <x v="2"/>
    <n v="289238"/>
    <n v="289088"/>
    <n v="234060"/>
    <n v="226511"/>
    <n v="2460"/>
    <n v="3816"/>
    <n v="52461"/>
    <n v="221"/>
    <n v="36"/>
    <n v="58144"/>
    <n v="584"/>
    <n v="33"/>
    <m/>
    <m/>
    <n v="28942"/>
    <n v="29306"/>
    <n v="13035"/>
    <n v="11926"/>
    <n v="273"/>
    <n v="644"/>
    <n v="15409"/>
    <n v="150"/>
    <n v="75"/>
    <n v="16581"/>
    <n v="102"/>
    <n v="53"/>
    <m/>
    <m/>
  </r>
  <r>
    <x v="13"/>
    <s v="Sul Ross State University "/>
    <m/>
    <n v="228501"/>
    <x v="2"/>
    <n v="35579"/>
    <n v="34365"/>
    <n v="29048"/>
    <n v="27376"/>
    <n v="514"/>
    <n v="254"/>
    <n v="5473"/>
    <n v="544"/>
    <n v="0"/>
    <n v="6015"/>
    <n v="720"/>
    <n v="0"/>
    <m/>
    <m/>
    <n v="9341"/>
    <n v="8882"/>
    <n v="2117"/>
    <n v="2065"/>
    <n v="54"/>
    <n v="102"/>
    <n v="7170"/>
    <n v="0"/>
    <n v="0"/>
    <n v="6711"/>
    <n v="4"/>
    <n v="0"/>
    <m/>
    <m/>
  </r>
  <r>
    <x v="13"/>
    <s v="Tarleton State University"/>
    <m/>
    <n v="228529"/>
    <x v="2"/>
    <n v="287851"/>
    <n v="285921"/>
    <n v="206570"/>
    <n v="200150"/>
    <n v="21516"/>
    <n v="18349"/>
    <n v="59393"/>
    <n v="354"/>
    <n v="18"/>
    <n v="67270"/>
    <n v="152"/>
    <n v="0"/>
    <m/>
    <m/>
    <n v="25624"/>
    <n v="28084"/>
    <n v="4874"/>
    <n v="4574"/>
    <n v="3863"/>
    <n v="4348"/>
    <n v="16851"/>
    <n v="36"/>
    <n v="0"/>
    <n v="19162"/>
    <n v="0"/>
    <n v="0"/>
    <m/>
    <m/>
  </r>
  <r>
    <x v="13"/>
    <s v="Texas A &amp; M International University"/>
    <m/>
    <n v="226152"/>
    <x v="2"/>
    <n v="166962"/>
    <n v="174352"/>
    <n v="143507"/>
    <n v="142865"/>
    <n v="1374"/>
    <n v="936"/>
    <n v="22081"/>
    <n v="0"/>
    <n v="0"/>
    <n v="30551"/>
    <n v="0"/>
    <n v="0"/>
    <m/>
    <m/>
    <n v="13664"/>
    <n v="13068"/>
    <n v="7524"/>
    <n v="6685"/>
    <n v="75"/>
    <n v="117"/>
    <n v="6065"/>
    <n v="0"/>
    <n v="0"/>
    <n v="6263"/>
    <n v="3"/>
    <n v="0"/>
    <m/>
    <m/>
  </r>
  <r>
    <x v="13"/>
    <s v="Texas A &amp; M University - Commerce"/>
    <m/>
    <n v="224554"/>
    <x v="2"/>
    <n v="192113"/>
    <n v="190199"/>
    <n v="99295"/>
    <n v="100576"/>
    <n v="11951"/>
    <n v="12593"/>
    <n v="73936"/>
    <n v="57"/>
    <n v="6874"/>
    <n v="76958"/>
    <n v="72"/>
    <n v="0"/>
    <m/>
    <m/>
    <n v="81828"/>
    <n v="68614"/>
    <n v="14047"/>
    <n v="12117"/>
    <n v="6170"/>
    <n v="4721"/>
    <n v="61383"/>
    <n v="228"/>
    <n v="0"/>
    <n v="51713"/>
    <n v="63"/>
    <n v="0"/>
    <m/>
    <m/>
  </r>
  <r>
    <x v="13"/>
    <s v="Texas A &amp; M University-Corpus Christi "/>
    <m/>
    <n v="224147"/>
    <x v="2"/>
    <n v="241433"/>
    <n v="249121"/>
    <n v="211941"/>
    <n v="216066"/>
    <n v="0"/>
    <n v="0"/>
    <n v="29457"/>
    <n v="35"/>
    <n v="0"/>
    <n v="33008"/>
    <n v="47"/>
    <n v="0"/>
    <m/>
    <m/>
    <n v="35287"/>
    <n v="36482"/>
    <n v="13746"/>
    <n v="12252"/>
    <n v="0"/>
    <n v="0"/>
    <n v="21538"/>
    <n v="3"/>
    <n v="0"/>
    <n v="24224"/>
    <n v="6"/>
    <n v="0"/>
    <m/>
    <m/>
  </r>
  <r>
    <x v="13"/>
    <s v="Texas A &amp; M University-Kingsville"/>
    <m/>
    <n v="228705"/>
    <x v="2"/>
    <n v="163193"/>
    <n v="165781"/>
    <n v="138207"/>
    <n v="135168"/>
    <n v="10113"/>
    <n v="11274"/>
    <n v="14211"/>
    <n v="653"/>
    <n v="9"/>
    <n v="16887"/>
    <n v="2452"/>
    <n v="0"/>
    <m/>
    <m/>
    <n v="39100"/>
    <n v="29780"/>
    <n v="29295"/>
    <n v="20137"/>
    <n v="3"/>
    <n v="111"/>
    <n v="9484"/>
    <n v="318"/>
    <n v="0"/>
    <n v="9046"/>
    <n v="486"/>
    <n v="0"/>
    <m/>
    <m/>
  </r>
  <r>
    <x v="13"/>
    <s v="Texas Southern University "/>
    <m/>
    <n v="229063"/>
    <x v="2"/>
    <n v="200044"/>
    <n v="203462"/>
    <n v="180873"/>
    <n v="177956"/>
    <n v="0"/>
    <n v="0"/>
    <n v="0"/>
    <n v="0"/>
    <n v="19171"/>
    <n v="0"/>
    <n v="0"/>
    <n v="25506"/>
    <m/>
    <m/>
    <n v="53428"/>
    <n v="51082"/>
    <n v="45056"/>
    <n v="43618"/>
    <n v="12"/>
    <n v="0"/>
    <n v="0"/>
    <n v="0"/>
    <n v="8360"/>
    <n v="0"/>
    <n v="0"/>
    <n v="7464"/>
    <m/>
    <m/>
  </r>
  <r>
    <x v="13"/>
    <s v="University of Houston-Clear Lake "/>
    <m/>
    <n v="225414"/>
    <x v="2"/>
    <n v="129026"/>
    <n v="135267"/>
    <n v="92447"/>
    <n v="97753"/>
    <n v="7845"/>
    <n v="7637"/>
    <n v="28734"/>
    <n v="0"/>
    <n v="0"/>
    <n v="29877"/>
    <n v="0"/>
    <n v="0"/>
    <m/>
    <m/>
    <n v="42680"/>
    <n v="40726"/>
    <n v="27217"/>
    <n v="22992"/>
    <n v="3065"/>
    <n v="3564"/>
    <n v="12398"/>
    <n v="0"/>
    <n v="0"/>
    <n v="14170"/>
    <n v="0"/>
    <n v="0"/>
    <m/>
    <m/>
  </r>
  <r>
    <x v="13"/>
    <s v="University of Texas - Rio Grande Valley"/>
    <m/>
    <n v="227368"/>
    <x v="2"/>
    <n v="636779"/>
    <n v="656599"/>
    <n v="464072"/>
    <n v="444944"/>
    <n v="1598"/>
    <n v="3022"/>
    <n v="150157"/>
    <n v="20952"/>
    <n v="0"/>
    <n v="183288"/>
    <n v="25345"/>
    <n v="0"/>
    <m/>
    <m/>
    <n v="59039"/>
    <n v="61889"/>
    <n v="24359"/>
    <n v="26290"/>
    <n v="1602"/>
    <n v="1465"/>
    <n v="29940"/>
    <n v="3138"/>
    <n v="0"/>
    <n v="30080"/>
    <n v="4054"/>
    <n v="0"/>
    <m/>
    <m/>
  </r>
  <r>
    <x v="13"/>
    <s v="University of Texas at Tyler"/>
    <m/>
    <n v="228802"/>
    <x v="2"/>
    <n v="168423"/>
    <n v="168942"/>
    <n v="94792"/>
    <n v="89240"/>
    <n v="12982"/>
    <n v="11184"/>
    <n v="60184"/>
    <n v="465"/>
    <n v="0"/>
    <n v="68026"/>
    <n v="492"/>
    <n v="0"/>
    <m/>
    <m/>
    <n v="42879"/>
    <n v="43141"/>
    <n v="7126"/>
    <n v="6665"/>
    <n v="36"/>
    <n v="57"/>
    <n v="35639"/>
    <n v="78"/>
    <n v="0"/>
    <n v="36320"/>
    <n v="99"/>
    <n v="0"/>
    <m/>
    <m/>
  </r>
  <r>
    <x v="13"/>
    <s v="University of Texas of the Permian Basin"/>
    <m/>
    <n v="229018"/>
    <x v="2"/>
    <n v="119104"/>
    <n v="107376"/>
    <n v="57275"/>
    <n v="52710"/>
    <n v="53"/>
    <n v="68"/>
    <n v="61776"/>
    <n v="0"/>
    <n v="0"/>
    <n v="54598"/>
    <n v="0"/>
    <n v="0"/>
    <m/>
    <m/>
    <n v="11832"/>
    <n v="15481"/>
    <n v="2289"/>
    <n v="2121"/>
    <n v="0"/>
    <n v="0"/>
    <n v="9543"/>
    <n v="0"/>
    <n v="0"/>
    <n v="13360"/>
    <n v="0"/>
    <n v="0"/>
    <m/>
    <m/>
  </r>
  <r>
    <x v="13"/>
    <s v="West Texas A &amp; M University"/>
    <m/>
    <n v="229814"/>
    <x v="2"/>
    <n v="188023"/>
    <n v="187392"/>
    <n v="141050"/>
    <n v="136150"/>
    <n v="0"/>
    <n v="78"/>
    <n v="46973"/>
    <n v="0"/>
    <n v="0"/>
    <n v="51164"/>
    <n v="0"/>
    <n v="0"/>
    <m/>
    <m/>
    <n v="39347"/>
    <n v="39044"/>
    <n v="7955"/>
    <n v="7324"/>
    <n v="0"/>
    <n v="0"/>
    <n v="31392"/>
    <n v="0"/>
    <n v="0"/>
    <n v="31720"/>
    <n v="0"/>
    <n v="0"/>
    <m/>
    <m/>
  </r>
  <r>
    <x v="13"/>
    <s v="Texas A &amp; M -Texarkana"/>
    <m/>
    <n v="483036"/>
    <x v="3"/>
    <n v="40017"/>
    <n v="42121"/>
    <n v="21435"/>
    <n v="20909"/>
    <n v="1788"/>
    <n v="1026"/>
    <n v="16710"/>
    <n v="84"/>
    <n v="0"/>
    <n v="19700"/>
    <n v="486"/>
    <n v="0"/>
    <m/>
    <m/>
    <n v="5544"/>
    <n v="5732"/>
    <n v="1419"/>
    <n v="791"/>
    <n v="474"/>
    <n v="150"/>
    <n v="4125"/>
    <n v="0"/>
    <n v="0"/>
    <n v="4791"/>
    <n v="0"/>
    <n v="0"/>
    <m/>
    <m/>
  </r>
  <r>
    <x v="13"/>
    <s v="Texas A &amp; M University - Central Texas"/>
    <s v="Met the criteria for Four-Year 3 in 2018-19."/>
    <n v="224545"/>
    <x v="3"/>
    <n v="41186"/>
    <n v="38905"/>
    <n v="19937"/>
    <n v="19287"/>
    <n v="2482"/>
    <n v="963"/>
    <n v="18665"/>
    <n v="102"/>
    <n v="0"/>
    <n v="18655"/>
    <n v="0"/>
    <n v="0"/>
    <m/>
    <m/>
    <n v="10728"/>
    <n v="8792"/>
    <n v="5382"/>
    <n v="4325"/>
    <n v="105"/>
    <n v="96"/>
    <n v="4872"/>
    <n v="0"/>
    <n v="0"/>
    <n v="4359"/>
    <n v="12"/>
    <n v="0"/>
    <m/>
    <m/>
  </r>
  <r>
    <x v="13"/>
    <s v="University of Houston-Victoria"/>
    <m/>
    <n v="225502"/>
    <x v="3"/>
    <n v="68024"/>
    <n v="71499"/>
    <n v="22227"/>
    <n v="23699"/>
    <n v="4306"/>
    <n v="4160"/>
    <n v="38197"/>
    <n v="3294"/>
    <n v="0"/>
    <n v="40919"/>
    <n v="2721"/>
    <n v="0"/>
    <m/>
    <m/>
    <n v="16278"/>
    <n v="17312"/>
    <n v="423"/>
    <n v="318"/>
    <n v="1680"/>
    <n v="1428"/>
    <n v="15060"/>
    <n v="690"/>
    <n v="0"/>
    <n v="14426"/>
    <n v="1140"/>
    <n v="0"/>
    <m/>
    <m/>
  </r>
  <r>
    <x v="13"/>
    <s v="Sul Ross State University-Rio Grande College"/>
    <m/>
    <s v="228501B"/>
    <x v="4"/>
    <n v="15669"/>
    <n v="13906"/>
    <n v="2823"/>
    <n v="3250"/>
    <n v="0"/>
    <n v="0"/>
    <n v="7533"/>
    <n v="5313"/>
    <n v="0"/>
    <n v="6606"/>
    <n v="4050"/>
    <n v="0"/>
    <m/>
    <m/>
    <n v="3975"/>
    <n v="1965"/>
    <n v="1026"/>
    <n v="663"/>
    <n v="0"/>
    <n v="0"/>
    <n v="1113"/>
    <n v="156"/>
    <n v="0"/>
    <n v="1101"/>
    <n v="201"/>
    <n v="0"/>
    <m/>
    <m/>
  </r>
  <r>
    <x v="13"/>
    <s v="Texas A &amp; M University - San Antonio"/>
    <s v="Met the criteria for Four-Year 4 in 2018-19."/>
    <n v="870501"/>
    <x v="4"/>
    <n v="115358"/>
    <n v="128454"/>
    <n v="74875"/>
    <n v="86084"/>
    <n v="2219"/>
    <n v="1528"/>
    <n v="32105"/>
    <n v="0"/>
    <n v="6159"/>
    <n v="35466"/>
    <n v="0"/>
    <n v="5376"/>
    <m/>
    <m/>
    <n v="15004"/>
    <n v="14609"/>
    <n v="5961"/>
    <n v="3282"/>
    <n v="132"/>
    <n v="84"/>
    <n v="6529"/>
    <n v="0"/>
    <n v="2514"/>
    <n v="6794"/>
    <n v="0"/>
    <n v="4449"/>
    <m/>
    <m/>
  </r>
  <r>
    <x v="13"/>
    <s v="Texas A &amp; M University at Galveston"/>
    <m/>
    <n v="228714"/>
    <x v="4"/>
    <n v="63002"/>
    <n v="58207"/>
    <n v="52487"/>
    <n v="44643"/>
    <n v="8218"/>
    <n v="10448"/>
    <n v="2265"/>
    <n v="0"/>
    <n v="32"/>
    <n v="3112"/>
    <n v="0"/>
    <n v="4"/>
    <m/>
    <m/>
    <n v="2591"/>
    <n v="2426"/>
    <n v="1772"/>
    <n v="1661"/>
    <n v="92"/>
    <n v="96"/>
    <n v="687"/>
    <n v="0"/>
    <n v="0"/>
    <n v="669"/>
    <n v="0"/>
    <n v="0"/>
    <m/>
    <m/>
  </r>
  <r>
    <x v="13"/>
    <s v="University of Houston-Downtown"/>
    <s v="Met the criteria for Four-Year 4 in 2017-18 and 2018-19."/>
    <n v="225432"/>
    <x v="4"/>
    <n v="253072"/>
    <n v="256077"/>
    <n v="131754"/>
    <n v="121898"/>
    <n v="7752"/>
    <n v="7740"/>
    <n v="113566"/>
    <n v="0"/>
    <n v="0"/>
    <n v="126439"/>
    <n v="0"/>
    <n v="0"/>
    <m/>
    <m/>
    <n v="27988"/>
    <n v="28227"/>
    <n v="2624"/>
    <n v="2700"/>
    <n v="0"/>
    <n v="21"/>
    <n v="25272"/>
    <n v="0"/>
    <n v="0"/>
    <n v="25506"/>
    <n v="0"/>
    <n v="0"/>
    <m/>
    <m/>
  </r>
  <r>
    <x v="13"/>
    <s v="Brazosport College "/>
    <m/>
    <n v="223506"/>
    <x v="13"/>
    <n v="75644"/>
    <n v="75669"/>
    <n v="51398"/>
    <n v="53733"/>
    <n v="4888"/>
    <n v="4357"/>
    <n v="19358"/>
    <n v="0"/>
    <n v="0"/>
    <n v="17579"/>
    <n v="0"/>
    <n v="0"/>
    <m/>
    <m/>
    <n v="0"/>
    <n v="0"/>
    <n v="0"/>
    <n v="0"/>
    <n v="0"/>
    <n v="0"/>
    <n v="0"/>
    <n v="0"/>
    <n v="0"/>
    <n v="0"/>
    <n v="0"/>
    <n v="0"/>
    <m/>
    <m/>
  </r>
  <r>
    <x v="13"/>
    <s v="Midland College "/>
    <m/>
    <n v="226806"/>
    <x v="13"/>
    <n v="110696"/>
    <n v="96518"/>
    <n v="58662"/>
    <n v="52445"/>
    <n v="9666"/>
    <n v="9245"/>
    <n v="41859"/>
    <n v="509"/>
    <n v="0"/>
    <n v="34227"/>
    <n v="601"/>
    <n v="0"/>
    <m/>
    <m/>
    <n v="0"/>
    <n v="0"/>
    <n v="0"/>
    <n v="0"/>
    <n v="0"/>
    <n v="0"/>
    <n v="0"/>
    <n v="0"/>
    <n v="0"/>
    <n v="0"/>
    <n v="0"/>
    <n v="0"/>
    <m/>
    <m/>
  </r>
  <r>
    <x v="13"/>
    <s v="South Texas College"/>
    <m/>
    <n v="409315"/>
    <x v="13"/>
    <n v="621531"/>
    <n v="630068"/>
    <n v="485008"/>
    <n v="477818"/>
    <n v="0"/>
    <n v="0"/>
    <n v="128040"/>
    <n v="0"/>
    <n v="8483"/>
    <n v="152250"/>
    <n v="0"/>
    <n v="0"/>
    <m/>
    <m/>
    <n v="0"/>
    <n v="0"/>
    <n v="0"/>
    <n v="0"/>
    <n v="0"/>
    <n v="0"/>
    <n v="0"/>
    <n v="0"/>
    <n v="0"/>
    <n v="0"/>
    <n v="0"/>
    <n v="0"/>
    <m/>
    <m/>
  </r>
  <r>
    <x v="13"/>
    <s v="Amarillo College "/>
    <m/>
    <n v="222576"/>
    <x v="6"/>
    <n v="158515"/>
    <n v="209495"/>
    <n v="83798"/>
    <n v="96956"/>
    <n v="7738"/>
    <n v="14591"/>
    <n v="66979"/>
    <n v="0"/>
    <n v="0"/>
    <n v="97729"/>
    <n v="219"/>
    <n v="0"/>
    <m/>
    <m/>
    <n v="0"/>
    <n v="0"/>
    <n v="0"/>
    <n v="0"/>
    <n v="0"/>
    <n v="0"/>
    <n v="0"/>
    <n v="0"/>
    <n v="0"/>
    <n v="0"/>
    <n v="0"/>
    <n v="0"/>
    <m/>
    <m/>
  </r>
  <r>
    <x v="13"/>
    <s v="Austin Community College "/>
    <m/>
    <n v="222992"/>
    <x v="6"/>
    <n v="712916"/>
    <n v="709283"/>
    <n v="532488"/>
    <n v="517681"/>
    <n v="47618"/>
    <n v="46784"/>
    <n v="132810"/>
    <n v="0"/>
    <n v="0"/>
    <n v="144818"/>
    <n v="0"/>
    <n v="0"/>
    <m/>
    <m/>
    <n v="0"/>
    <n v="0"/>
    <n v="0"/>
    <n v="0"/>
    <n v="0"/>
    <n v="0"/>
    <n v="0"/>
    <n v="0"/>
    <n v="0"/>
    <n v="0"/>
    <n v="0"/>
    <n v="0"/>
    <m/>
    <m/>
  </r>
  <r>
    <x v="13"/>
    <s v="Blinn College "/>
    <m/>
    <n v="223427"/>
    <x v="6"/>
    <n v="405102"/>
    <n v="404955"/>
    <n v="51670"/>
    <n v="54052"/>
    <n v="253330"/>
    <n v="243681"/>
    <n v="100075"/>
    <n v="27"/>
    <n v="0"/>
    <n v="107018"/>
    <n v="78"/>
    <n v="126"/>
    <m/>
    <m/>
    <n v="0"/>
    <n v="0"/>
    <n v="0"/>
    <n v="0"/>
    <n v="0"/>
    <n v="0"/>
    <n v="0"/>
    <n v="0"/>
    <n v="0"/>
    <n v="0"/>
    <n v="0"/>
    <n v="0"/>
    <m/>
    <m/>
  </r>
  <r>
    <x v="13"/>
    <s v="Brookhaven College (DCCCD)"/>
    <m/>
    <n v="223524"/>
    <x v="6"/>
    <n v="206790"/>
    <n v="209475"/>
    <n v="124335"/>
    <n v="113846"/>
    <n v="3720"/>
    <n v="9534"/>
    <n v="78735"/>
    <n v="0"/>
    <n v="0"/>
    <n v="86095"/>
    <n v="0"/>
    <n v="0"/>
    <m/>
    <m/>
    <n v="0"/>
    <n v="0"/>
    <n v="0"/>
    <n v="0"/>
    <n v="0"/>
    <n v="0"/>
    <n v="0"/>
    <n v="0"/>
    <n v="0"/>
    <n v="0"/>
    <n v="0"/>
    <n v="0"/>
    <m/>
    <m/>
  </r>
  <r>
    <x v="13"/>
    <s v="Central Texas College "/>
    <m/>
    <n v="223816"/>
    <x v="6"/>
    <n v="232530"/>
    <n v="229323"/>
    <n v="76591"/>
    <n v="76198"/>
    <n v="29042"/>
    <n v="22952"/>
    <n v="126716"/>
    <n v="181"/>
    <n v="0"/>
    <n v="129699"/>
    <n v="411"/>
    <n v="63"/>
    <m/>
    <m/>
    <n v="0"/>
    <n v="0"/>
    <n v="0"/>
    <n v="0"/>
    <n v="0"/>
    <n v="0"/>
    <n v="0"/>
    <n v="0"/>
    <n v="0"/>
    <n v="0"/>
    <n v="0"/>
    <n v="0"/>
    <m/>
    <m/>
  </r>
  <r>
    <x v="13"/>
    <s v="Collin County Community College District"/>
    <m/>
    <n v="247834"/>
    <x v="6"/>
    <n v="574457"/>
    <n v="598348"/>
    <n v="430732"/>
    <n v="430032"/>
    <n v="38873"/>
    <n v="54750"/>
    <n v="104852"/>
    <n v="0"/>
    <n v="0"/>
    <n v="113566"/>
    <n v="0"/>
    <n v="0"/>
    <m/>
    <m/>
    <n v="0"/>
    <n v="0"/>
    <n v="0"/>
    <n v="0"/>
    <n v="0"/>
    <n v="0"/>
    <n v="0"/>
    <n v="0"/>
    <n v="0"/>
    <n v="0"/>
    <n v="0"/>
    <n v="0"/>
    <m/>
    <m/>
  </r>
  <r>
    <x v="13"/>
    <s v="Del Mar College "/>
    <m/>
    <n v="224350"/>
    <x v="6"/>
    <n v="210900"/>
    <n v="207524"/>
    <n v="174983"/>
    <n v="158322"/>
    <n v="3702"/>
    <n v="5001"/>
    <n v="32080"/>
    <n v="135"/>
    <n v="0"/>
    <n v="44201"/>
    <n v="0"/>
    <n v="0"/>
    <m/>
    <m/>
    <n v="0"/>
    <n v="0"/>
    <n v="0"/>
    <n v="0"/>
    <n v="0"/>
    <n v="0"/>
    <n v="0"/>
    <n v="0"/>
    <n v="0"/>
    <n v="0"/>
    <n v="0"/>
    <n v="0"/>
    <m/>
    <m/>
  </r>
  <r>
    <x v="13"/>
    <s v="Eastfield College (DCCCD)"/>
    <m/>
    <n v="224572"/>
    <x v="6"/>
    <n v="227532"/>
    <n v="269307"/>
    <n v="117462"/>
    <n v="108424"/>
    <n v="13912"/>
    <n v="51330"/>
    <n v="96158"/>
    <n v="0"/>
    <n v="0"/>
    <n v="109457"/>
    <n v="0"/>
    <n v="96"/>
    <m/>
    <m/>
    <n v="0"/>
    <n v="0"/>
    <n v="0"/>
    <n v="0"/>
    <n v="0"/>
    <n v="0"/>
    <n v="0"/>
    <n v="0"/>
    <n v="0"/>
    <n v="0"/>
    <n v="0"/>
    <n v="0"/>
    <m/>
    <m/>
  </r>
  <r>
    <x v="13"/>
    <s v="El Centro College  (DCCCD)"/>
    <m/>
    <n v="224615"/>
    <x v="6"/>
    <n v="152980"/>
    <n v="169303"/>
    <n v="93889"/>
    <n v="94539"/>
    <n v="9296"/>
    <n v="18187"/>
    <n v="49795"/>
    <n v="0"/>
    <n v="0"/>
    <n v="56577"/>
    <n v="0"/>
    <n v="0"/>
    <m/>
    <m/>
    <n v="0"/>
    <n v="0"/>
    <n v="0"/>
    <n v="0"/>
    <n v="0"/>
    <n v="0"/>
    <n v="0"/>
    <n v="0"/>
    <n v="0"/>
    <n v="0"/>
    <n v="0"/>
    <n v="0"/>
    <m/>
    <m/>
  </r>
  <r>
    <x v="13"/>
    <s v="El Paso County Community College District"/>
    <m/>
    <n v="224642"/>
    <x v="6"/>
    <n v="505868"/>
    <n v="520895"/>
    <n v="368266"/>
    <n v="355381"/>
    <n v="55343"/>
    <n v="73925"/>
    <n v="82259"/>
    <n v="0"/>
    <n v="0"/>
    <n v="91589"/>
    <n v="0"/>
    <n v="0"/>
    <m/>
    <m/>
    <n v="0"/>
    <n v="0"/>
    <n v="0"/>
    <n v="0"/>
    <n v="0"/>
    <n v="0"/>
    <n v="0"/>
    <n v="0"/>
    <n v="0"/>
    <n v="0"/>
    <n v="0"/>
    <n v="0"/>
    <m/>
    <m/>
  </r>
  <r>
    <x v="13"/>
    <s v="Houston Community College"/>
    <m/>
    <n v="225423"/>
    <x v="6"/>
    <n v="1086042"/>
    <n v="1038543"/>
    <n v="539983"/>
    <n v="507673"/>
    <n v="194671"/>
    <n v="185630"/>
    <n v="351388"/>
    <n v="0"/>
    <n v="0"/>
    <n v="345240"/>
    <n v="0"/>
    <n v="0"/>
    <m/>
    <m/>
    <n v="0"/>
    <n v="0"/>
    <n v="0"/>
    <n v="0"/>
    <n v="0"/>
    <n v="0"/>
    <n v="0"/>
    <n v="0"/>
    <n v="0"/>
    <n v="0"/>
    <n v="0"/>
    <n v="0"/>
    <m/>
    <m/>
  </r>
  <r>
    <x v="13"/>
    <s v="Laredo Community College "/>
    <m/>
    <n v="226134"/>
    <x v="6"/>
    <n v="159541"/>
    <n v="173674"/>
    <n v="117828"/>
    <n v="116402"/>
    <n v="16242"/>
    <n v="25267"/>
    <n v="24637"/>
    <n v="834"/>
    <n v="0"/>
    <n v="31081"/>
    <n v="924"/>
    <n v="0"/>
    <m/>
    <m/>
    <n v="0"/>
    <n v="0"/>
    <n v="0"/>
    <n v="0"/>
    <n v="0"/>
    <n v="0"/>
    <n v="0"/>
    <n v="0"/>
    <n v="0"/>
    <n v="0"/>
    <n v="0"/>
    <n v="0"/>
    <m/>
    <m/>
  </r>
  <r>
    <x v="13"/>
    <s v="Lone Star College System District"/>
    <m/>
    <n v="227182"/>
    <x v="6"/>
    <n v="1270869"/>
    <n v="1400320"/>
    <n v="781324"/>
    <n v="756765"/>
    <n v="101107"/>
    <n v="130842"/>
    <n v="388318"/>
    <n v="120"/>
    <n v="0"/>
    <n v="512463"/>
    <n v="250"/>
    <n v="0"/>
    <m/>
    <m/>
    <n v="0"/>
    <n v="0"/>
    <n v="0"/>
    <n v="0"/>
    <n v="0"/>
    <n v="0"/>
    <n v="0"/>
    <n v="0"/>
    <n v="0"/>
    <n v="0"/>
    <n v="0"/>
    <n v="0"/>
    <m/>
    <m/>
  </r>
  <r>
    <x v="13"/>
    <s v="McLennan Community College "/>
    <m/>
    <n v="226578"/>
    <x v="6"/>
    <n v="182697"/>
    <n v="181374"/>
    <n v="118649"/>
    <n v="113473"/>
    <n v="393"/>
    <n v="203"/>
    <n v="63505"/>
    <n v="150"/>
    <n v="0"/>
    <n v="67698"/>
    <n v="0"/>
    <n v="0"/>
    <m/>
    <m/>
    <n v="0"/>
    <n v="0"/>
    <n v="0"/>
    <n v="0"/>
    <n v="0"/>
    <n v="0"/>
    <n v="0"/>
    <n v="0"/>
    <n v="0"/>
    <n v="0"/>
    <n v="0"/>
    <n v="0"/>
    <m/>
    <m/>
  </r>
  <r>
    <x v="13"/>
    <s v="Navarro College "/>
    <m/>
    <n v="227146"/>
    <x v="6"/>
    <n v="178998"/>
    <n v="177446"/>
    <n v="51629"/>
    <n v="48396"/>
    <n v="77331"/>
    <n v="73708"/>
    <n v="49862"/>
    <n v="0"/>
    <n v="176"/>
    <n v="55342"/>
    <n v="0"/>
    <n v="0"/>
    <m/>
    <m/>
    <n v="0"/>
    <n v="0"/>
    <n v="0"/>
    <n v="0"/>
    <n v="0"/>
    <n v="0"/>
    <n v="0"/>
    <n v="0"/>
    <n v="0"/>
    <n v="0"/>
    <n v="0"/>
    <n v="0"/>
    <m/>
    <m/>
  </r>
  <r>
    <x v="13"/>
    <s v="North Central Texas Community College"/>
    <m/>
    <n v="224110"/>
    <x v="6"/>
    <n v="177665"/>
    <n v="179992"/>
    <n v="23418"/>
    <n v="22364"/>
    <n v="96294"/>
    <n v="89112"/>
    <n v="57344"/>
    <n v="531"/>
    <n v="78"/>
    <n v="67598"/>
    <n v="909"/>
    <n v="9"/>
    <m/>
    <m/>
    <n v="0"/>
    <n v="0"/>
    <n v="0"/>
    <n v="0"/>
    <n v="0"/>
    <n v="0"/>
    <n v="0"/>
    <n v="0"/>
    <n v="0"/>
    <n v="0"/>
    <n v="0"/>
    <n v="0"/>
    <m/>
    <m/>
  </r>
  <r>
    <x v="13"/>
    <s v="North Lake College (DCCCD)"/>
    <m/>
    <n v="227191"/>
    <x v="6"/>
    <n v="184285"/>
    <n v="182725"/>
    <n v="114213"/>
    <n v="110847"/>
    <n v="4247"/>
    <n v="5613"/>
    <n v="65825"/>
    <n v="0"/>
    <n v="0"/>
    <n v="66265"/>
    <n v="0"/>
    <n v="0"/>
    <m/>
    <m/>
    <n v="0"/>
    <n v="0"/>
    <n v="0"/>
    <n v="0"/>
    <n v="0"/>
    <n v="0"/>
    <n v="0"/>
    <n v="0"/>
    <n v="0"/>
    <n v="0"/>
    <n v="0"/>
    <n v="0"/>
    <m/>
    <m/>
  </r>
  <r>
    <x v="13"/>
    <s v="Northwest Vista College (ACCD)"/>
    <m/>
    <n v="420398"/>
    <x v="6"/>
    <n v="295407"/>
    <n v="294308"/>
    <n v="202023"/>
    <n v="191328"/>
    <n v="34072"/>
    <n v="37617"/>
    <n v="59312"/>
    <n v="0"/>
    <n v="0"/>
    <n v="65363"/>
    <n v="0"/>
    <n v="0"/>
    <m/>
    <m/>
    <n v="0"/>
    <n v="0"/>
    <n v="0"/>
    <n v="0"/>
    <n v="0"/>
    <n v="0"/>
    <n v="0"/>
    <n v="0"/>
    <n v="0"/>
    <n v="0"/>
    <n v="0"/>
    <n v="0"/>
    <m/>
    <m/>
  </r>
  <r>
    <x v="13"/>
    <s v="Palo Alto College (ACCD)"/>
    <m/>
    <n v="246354"/>
    <x v="6"/>
    <n v="162612"/>
    <n v="164975"/>
    <n v="101363"/>
    <n v="102519"/>
    <n v="3282"/>
    <n v="1885"/>
    <n v="57967"/>
    <n v="0"/>
    <n v="0"/>
    <n v="60571"/>
    <n v="0"/>
    <n v="0"/>
    <m/>
    <m/>
    <n v="0"/>
    <n v="0"/>
    <n v="0"/>
    <n v="0"/>
    <n v="0"/>
    <n v="0"/>
    <n v="0"/>
    <n v="0"/>
    <n v="0"/>
    <n v="0"/>
    <n v="0"/>
    <n v="0"/>
    <m/>
    <m/>
  </r>
  <r>
    <x v="13"/>
    <s v="Richland College (DCCCD)"/>
    <m/>
    <n v="227766"/>
    <x v="6"/>
    <n v="319773"/>
    <n v="334899"/>
    <n v="198576"/>
    <n v="193919"/>
    <n v="5580"/>
    <n v="16615"/>
    <n v="115617"/>
    <n v="0"/>
    <n v="0"/>
    <n v="124365"/>
    <n v="0"/>
    <n v="0"/>
    <m/>
    <m/>
    <n v="0"/>
    <n v="0"/>
    <n v="0"/>
    <n v="0"/>
    <n v="0"/>
    <n v="0"/>
    <n v="0"/>
    <n v="0"/>
    <n v="0"/>
    <n v="0"/>
    <n v="0"/>
    <n v="0"/>
    <m/>
    <m/>
  </r>
  <r>
    <x v="13"/>
    <s v="San Antonio College (ACCD)"/>
    <m/>
    <n v="227924"/>
    <x v="6"/>
    <n v="344161"/>
    <n v="329161"/>
    <n v="225067"/>
    <n v="208914"/>
    <n v="14989"/>
    <n v="16290"/>
    <n v="104105"/>
    <n v="0"/>
    <n v="0"/>
    <n v="103957"/>
    <n v="0"/>
    <n v="0"/>
    <m/>
    <m/>
    <n v="0"/>
    <n v="0"/>
    <n v="0"/>
    <n v="0"/>
    <n v="0"/>
    <n v="0"/>
    <n v="0"/>
    <n v="0"/>
    <n v="0"/>
    <n v="0"/>
    <n v="0"/>
    <n v="0"/>
    <m/>
    <m/>
  </r>
  <r>
    <x v="13"/>
    <s v="San Jacinto College"/>
    <m/>
    <n v="227979"/>
    <x v="6"/>
    <n v="602358"/>
    <n v="607595"/>
    <n v="466687"/>
    <n v="451717"/>
    <n v="10347"/>
    <n v="14676"/>
    <n v="125258"/>
    <n v="66"/>
    <n v="0"/>
    <n v="141139"/>
    <n v="63"/>
    <n v="0"/>
    <m/>
    <m/>
    <n v="0"/>
    <n v="0"/>
    <n v="0"/>
    <n v="0"/>
    <n v="0"/>
    <n v="0"/>
    <n v="0"/>
    <n v="0"/>
    <n v="0"/>
    <n v="0"/>
    <n v="0"/>
    <n v="0"/>
    <m/>
    <m/>
  </r>
  <r>
    <x v="13"/>
    <s v="South Plains College "/>
    <m/>
    <n v="228158"/>
    <x v="6"/>
    <n v="190242"/>
    <n v="187779"/>
    <n v="81734"/>
    <n v="74220"/>
    <n v="59816"/>
    <n v="57968"/>
    <n v="46952"/>
    <n v="1740"/>
    <n v="0"/>
    <n v="53419"/>
    <n v="2172"/>
    <n v="0"/>
    <m/>
    <m/>
    <n v="0"/>
    <n v="0"/>
    <n v="0"/>
    <n v="0"/>
    <n v="0"/>
    <n v="0"/>
    <n v="0"/>
    <n v="0"/>
    <n v="0"/>
    <n v="0"/>
    <n v="0"/>
    <n v="0"/>
    <m/>
    <m/>
  </r>
  <r>
    <x v="13"/>
    <s v="St. Philip's College (ACCD)"/>
    <m/>
    <n v="227854"/>
    <x v="6"/>
    <n v="195244"/>
    <n v="193196"/>
    <n v="105307"/>
    <n v="96295"/>
    <n v="25195"/>
    <n v="32101"/>
    <n v="64742"/>
    <n v="0"/>
    <n v="0"/>
    <n v="64800"/>
    <n v="0"/>
    <n v="0"/>
    <m/>
    <m/>
    <n v="0"/>
    <n v="0"/>
    <n v="0"/>
    <n v="0"/>
    <n v="0"/>
    <n v="0"/>
    <n v="0"/>
    <n v="0"/>
    <n v="0"/>
    <n v="0"/>
    <n v="0"/>
    <n v="0"/>
    <m/>
    <m/>
  </r>
  <r>
    <x v="13"/>
    <s v="Tarrant County College"/>
    <m/>
    <n v="228547"/>
    <x v="6"/>
    <n v="935308"/>
    <n v="957430"/>
    <n v="706591"/>
    <n v="713503"/>
    <n v="52923"/>
    <n v="58511"/>
    <n v="175794"/>
    <n v="0"/>
    <n v="0"/>
    <n v="185416"/>
    <n v="0"/>
    <n v="0"/>
    <m/>
    <m/>
    <n v="0"/>
    <n v="0"/>
    <n v="0"/>
    <n v="0"/>
    <n v="0"/>
    <n v="0"/>
    <n v="0"/>
    <n v="0"/>
    <n v="0"/>
    <n v="0"/>
    <n v="0"/>
    <n v="0"/>
    <m/>
    <m/>
  </r>
  <r>
    <x v="13"/>
    <s v="Trinity Valley Community College"/>
    <m/>
    <n v="225308"/>
    <x v="6"/>
    <n v="139129"/>
    <n v="136552"/>
    <n v="63542"/>
    <n v="59860"/>
    <n v="27524"/>
    <n v="24274"/>
    <n v="48063"/>
    <n v="0"/>
    <n v="0"/>
    <n v="52418"/>
    <n v="0"/>
    <n v="0"/>
    <m/>
    <m/>
    <n v="0"/>
    <n v="0"/>
    <n v="0"/>
    <n v="0"/>
    <n v="0"/>
    <n v="0"/>
    <n v="0"/>
    <n v="0"/>
    <n v="0"/>
    <n v="0"/>
    <n v="0"/>
    <n v="0"/>
    <m/>
    <m/>
  </r>
  <r>
    <x v="13"/>
    <s v="Tyler Junior College "/>
    <s v="Met the criteria for Two-Year with Bachelor's in 2018-19. "/>
    <n v="229355"/>
    <x v="6"/>
    <n v="240434"/>
    <n v="246132"/>
    <n v="140969"/>
    <n v="142037"/>
    <n v="20994"/>
    <n v="16016"/>
    <n v="78435"/>
    <n v="0"/>
    <n v="36"/>
    <n v="88079"/>
    <n v="0"/>
    <n v="0"/>
    <m/>
    <m/>
    <n v="0"/>
    <n v="0"/>
    <n v="0"/>
    <n v="0"/>
    <n v="0"/>
    <n v="0"/>
    <n v="0"/>
    <n v="0"/>
    <n v="0"/>
    <n v="0"/>
    <n v="0"/>
    <n v="0"/>
    <m/>
    <m/>
  </r>
  <r>
    <x v="13"/>
    <s v="Alvin Community College "/>
    <m/>
    <n v="222567"/>
    <x v="7"/>
    <n v="105982"/>
    <n v="105186"/>
    <n v="55163"/>
    <n v="51630"/>
    <n v="28496"/>
    <n v="30863"/>
    <n v="22323"/>
    <n v="0"/>
    <n v="0"/>
    <n v="22693"/>
    <n v="0"/>
    <n v="0"/>
    <m/>
    <m/>
    <n v="0"/>
    <n v="0"/>
    <n v="0"/>
    <n v="0"/>
    <n v="0"/>
    <n v="0"/>
    <n v="0"/>
    <n v="0"/>
    <n v="0"/>
    <n v="0"/>
    <n v="0"/>
    <n v="0"/>
    <m/>
    <m/>
  </r>
  <r>
    <x v="13"/>
    <s v="Angelina College "/>
    <m/>
    <n v="222822"/>
    <x v="7"/>
    <n v="93331"/>
    <n v="87794"/>
    <n v="49215"/>
    <n v="43959"/>
    <n v="8390"/>
    <n v="7351"/>
    <n v="27742"/>
    <n v="7984"/>
    <n v="0"/>
    <n v="29756"/>
    <n v="6456"/>
    <n v="272"/>
    <m/>
    <m/>
    <n v="0"/>
    <n v="0"/>
    <n v="0"/>
    <n v="0"/>
    <n v="0"/>
    <n v="0"/>
    <n v="0"/>
    <n v="0"/>
    <n v="0"/>
    <n v="0"/>
    <n v="0"/>
    <n v="0"/>
    <m/>
    <m/>
  </r>
  <r>
    <x v="13"/>
    <s v="Cedar Valley College (DCCCD)"/>
    <m/>
    <n v="223773"/>
    <x v="7"/>
    <n v="114039"/>
    <n v="126807"/>
    <n v="50132"/>
    <n v="44977"/>
    <n v="6332"/>
    <n v="11826"/>
    <n v="57575"/>
    <n v="0"/>
    <n v="0"/>
    <n v="70004"/>
    <n v="0"/>
    <n v="0"/>
    <m/>
    <m/>
    <n v="0"/>
    <n v="0"/>
    <n v="0"/>
    <n v="0"/>
    <n v="0"/>
    <n v="0"/>
    <n v="0"/>
    <n v="0"/>
    <n v="0"/>
    <n v="0"/>
    <n v="0"/>
    <n v="0"/>
    <m/>
    <m/>
  </r>
  <r>
    <x v="13"/>
    <s v="Cisco Junior College "/>
    <m/>
    <n v="223898"/>
    <x v="7"/>
    <n v="65984"/>
    <n v="69069"/>
    <n v="10442"/>
    <n v="10474"/>
    <n v="30936"/>
    <n v="30533"/>
    <n v="24137"/>
    <n v="469"/>
    <n v="0"/>
    <n v="27556"/>
    <n v="506"/>
    <n v="0"/>
    <m/>
    <m/>
    <n v="0"/>
    <n v="0"/>
    <n v="0"/>
    <n v="0"/>
    <n v="0"/>
    <n v="0"/>
    <n v="0"/>
    <n v="0"/>
    <n v="0"/>
    <n v="0"/>
    <n v="0"/>
    <n v="0"/>
    <m/>
    <m/>
  </r>
  <r>
    <x v="13"/>
    <s v="Coastal Bend College"/>
    <m/>
    <n v="223320"/>
    <x v="7"/>
    <n v="82546"/>
    <n v="79666"/>
    <n v="16280"/>
    <n v="15626"/>
    <n v="27741"/>
    <n v="26657"/>
    <n v="27574"/>
    <n v="7079"/>
    <n v="3872"/>
    <n v="30703"/>
    <n v="4712"/>
    <n v="1968"/>
    <m/>
    <m/>
    <n v="0"/>
    <n v="0"/>
    <n v="0"/>
    <n v="0"/>
    <n v="0"/>
    <n v="0"/>
    <n v="0"/>
    <n v="0"/>
    <n v="0"/>
    <n v="0"/>
    <n v="0"/>
    <n v="0"/>
    <m/>
    <m/>
  </r>
  <r>
    <x v="13"/>
    <s v="College of the Mainland"/>
    <m/>
    <n v="226408"/>
    <x v="7"/>
    <n v="80759"/>
    <n v="83649"/>
    <n v="53258"/>
    <n v="52268"/>
    <n v="7157"/>
    <n v="7129"/>
    <n v="20344"/>
    <n v="0"/>
    <n v="0"/>
    <n v="24252"/>
    <n v="0"/>
    <n v="0"/>
    <m/>
    <m/>
    <n v="0"/>
    <n v="0"/>
    <n v="0"/>
    <n v="0"/>
    <n v="0"/>
    <n v="0"/>
    <n v="0"/>
    <n v="0"/>
    <n v="0"/>
    <n v="0"/>
    <n v="0"/>
    <n v="0"/>
    <m/>
    <m/>
  </r>
  <r>
    <x v="13"/>
    <s v="Grayson County College "/>
    <m/>
    <n v="225070"/>
    <x v="7"/>
    <n v="82555"/>
    <n v="82401"/>
    <n v="46632"/>
    <n v="41561"/>
    <n v="2161"/>
    <n v="0"/>
    <n v="31671"/>
    <n v="0"/>
    <n v="2091"/>
    <n v="40777"/>
    <n v="0"/>
    <n v="63"/>
    <m/>
    <m/>
    <n v="0"/>
    <n v="0"/>
    <n v="0"/>
    <n v="0"/>
    <n v="0"/>
    <n v="0"/>
    <n v="0"/>
    <n v="0"/>
    <n v="0"/>
    <n v="0"/>
    <n v="0"/>
    <n v="0"/>
    <m/>
    <m/>
  </r>
  <r>
    <x v="13"/>
    <s v="Hill College"/>
    <m/>
    <n v="225371"/>
    <x v="7"/>
    <n v="83420"/>
    <n v="85264"/>
    <n v="12207"/>
    <n v="11392"/>
    <n v="31819"/>
    <n v="31680"/>
    <n v="38278"/>
    <n v="1116"/>
    <n v="0"/>
    <n v="40994"/>
    <n v="1198"/>
    <n v="0"/>
    <m/>
    <m/>
    <n v="0"/>
    <n v="0"/>
    <n v="0"/>
    <n v="0"/>
    <n v="0"/>
    <n v="0"/>
    <n v="0"/>
    <n v="0"/>
    <n v="0"/>
    <n v="0"/>
    <n v="0"/>
    <n v="0"/>
    <m/>
    <m/>
  </r>
  <r>
    <x v="13"/>
    <s v="Howard College (HCJCD)"/>
    <m/>
    <n v="225520"/>
    <x v="7"/>
    <n v="64852"/>
    <n v="66207"/>
    <n v="13488"/>
    <n v="12721"/>
    <n v="25719"/>
    <n v="24752"/>
    <n v="24861"/>
    <n v="784"/>
    <n v="0"/>
    <n v="27187"/>
    <n v="1547"/>
    <n v="0"/>
    <m/>
    <m/>
    <n v="0"/>
    <n v="0"/>
    <n v="0"/>
    <n v="0"/>
    <n v="0"/>
    <n v="0"/>
    <n v="0"/>
    <n v="0"/>
    <n v="0"/>
    <n v="0"/>
    <n v="0"/>
    <n v="0"/>
    <m/>
    <m/>
  </r>
  <r>
    <x v="13"/>
    <s v="Kilgore College "/>
    <m/>
    <n v="226019"/>
    <x v="7"/>
    <n v="111902"/>
    <n v="108532"/>
    <n v="60846"/>
    <n v="55512"/>
    <n v="31203"/>
    <n v="31056"/>
    <n v="19205"/>
    <n v="648"/>
    <n v="0"/>
    <n v="21928"/>
    <n v="36"/>
    <n v="0"/>
    <m/>
    <m/>
    <n v="0"/>
    <n v="0"/>
    <n v="0"/>
    <n v="0"/>
    <n v="0"/>
    <n v="0"/>
    <n v="0"/>
    <n v="0"/>
    <n v="0"/>
    <n v="0"/>
    <n v="0"/>
    <n v="0"/>
    <m/>
    <m/>
  </r>
  <r>
    <x v="13"/>
    <s v="Lamar Institute of Technology"/>
    <m/>
    <n v="441760"/>
    <x v="7"/>
    <n v="59131"/>
    <n v="61285"/>
    <n v="46185"/>
    <n v="45408"/>
    <n v="3984"/>
    <n v="5304"/>
    <n v="8962"/>
    <n v="0"/>
    <n v="0"/>
    <n v="10540"/>
    <n v="33"/>
    <n v="0"/>
    <m/>
    <m/>
    <n v="0"/>
    <n v="0"/>
    <n v="0"/>
    <n v="0"/>
    <n v="0"/>
    <n v="0"/>
    <n v="0"/>
    <n v="0"/>
    <n v="0"/>
    <n v="0"/>
    <n v="0"/>
    <n v="0"/>
    <m/>
    <m/>
  </r>
  <r>
    <x v="13"/>
    <s v="Lee College "/>
    <m/>
    <n v="226204"/>
    <x v="7"/>
    <n v="152285"/>
    <n v="146001"/>
    <n v="83372"/>
    <n v="74783"/>
    <n v="44840"/>
    <n v="42107"/>
    <n v="24073"/>
    <n v="0"/>
    <n v="0"/>
    <n v="29111"/>
    <n v="0"/>
    <n v="0"/>
    <m/>
    <m/>
    <n v="0"/>
    <n v="0"/>
    <n v="0"/>
    <n v="0"/>
    <n v="0"/>
    <n v="0"/>
    <n v="0"/>
    <n v="0"/>
    <n v="0"/>
    <n v="0"/>
    <n v="0"/>
    <n v="0"/>
    <m/>
    <m/>
  </r>
  <r>
    <x v="13"/>
    <s v="Mountain View College  (DCCCD)"/>
    <s v="Reclassified: Met the criteria for Two-Year 1 in 2016-17, 2017-18, and 2018-19."/>
    <n v="226930"/>
    <x v="6"/>
    <n v="153499"/>
    <n v="176289"/>
    <n v="97225"/>
    <n v="104611"/>
    <n v="5481"/>
    <n v="14592"/>
    <n v="50793"/>
    <n v="0"/>
    <n v="0"/>
    <n v="57086"/>
    <n v="0"/>
    <n v="0"/>
    <m/>
    <m/>
    <n v="0"/>
    <n v="0"/>
    <n v="0"/>
    <n v="0"/>
    <n v="0"/>
    <n v="0"/>
    <n v="0"/>
    <n v="0"/>
    <n v="0"/>
    <n v="0"/>
    <n v="0"/>
    <n v="0"/>
    <m/>
    <m/>
  </r>
  <r>
    <x v="13"/>
    <s v="Northeast Texas Community College "/>
    <m/>
    <n v="227225"/>
    <x v="7"/>
    <n v="63489"/>
    <n v="62932"/>
    <n v="32177"/>
    <n v="28800"/>
    <n v="3294"/>
    <n v="3646"/>
    <n v="28018"/>
    <n v="0"/>
    <n v="0"/>
    <n v="30486"/>
    <n v="0"/>
    <n v="0"/>
    <m/>
    <m/>
    <n v="0"/>
    <n v="0"/>
    <n v="0"/>
    <n v="0"/>
    <n v="0"/>
    <n v="0"/>
    <n v="0"/>
    <n v="0"/>
    <n v="0"/>
    <n v="0"/>
    <n v="0"/>
    <n v="0"/>
    <m/>
    <m/>
  </r>
  <r>
    <x v="13"/>
    <s v="Odessa College "/>
    <m/>
    <n v="227304"/>
    <x v="7"/>
    <n v="117064"/>
    <n v="121094"/>
    <n v="59473"/>
    <n v="57160"/>
    <n v="9644"/>
    <n v="10692"/>
    <n v="47947"/>
    <n v="0"/>
    <n v="0"/>
    <n v="53242"/>
    <n v="0"/>
    <n v="0"/>
    <m/>
    <m/>
    <n v="0"/>
    <n v="0"/>
    <n v="0"/>
    <n v="0"/>
    <n v="0"/>
    <n v="0"/>
    <n v="0"/>
    <n v="0"/>
    <n v="0"/>
    <n v="0"/>
    <n v="0"/>
    <n v="0"/>
    <m/>
    <m/>
  </r>
  <r>
    <x v="13"/>
    <s v="Paris Junior College"/>
    <m/>
    <n v="227401"/>
    <x v="7"/>
    <n v="94661"/>
    <n v="97068"/>
    <n v="21690"/>
    <n v="21058"/>
    <n v="26502"/>
    <n v="23772"/>
    <n v="42325"/>
    <n v="4144"/>
    <n v="0"/>
    <n v="45279"/>
    <n v="6959"/>
    <n v="0"/>
    <m/>
    <m/>
    <n v="0"/>
    <n v="0"/>
    <n v="0"/>
    <n v="0"/>
    <n v="0"/>
    <n v="0"/>
    <n v="0"/>
    <n v="0"/>
    <n v="0"/>
    <n v="0"/>
    <n v="0"/>
    <n v="0"/>
    <m/>
    <m/>
  </r>
  <r>
    <x v="13"/>
    <s v="Southwest Texas Junior College "/>
    <m/>
    <n v="228316"/>
    <x v="7"/>
    <n v="112056"/>
    <n v="117433"/>
    <n v="19122"/>
    <n v="19406"/>
    <n v="61308"/>
    <n v="63657"/>
    <n v="14375"/>
    <n v="17251"/>
    <n v="0"/>
    <n v="17379"/>
    <n v="16991"/>
    <n v="0"/>
    <m/>
    <m/>
    <n v="0"/>
    <n v="0"/>
    <n v="0"/>
    <n v="0"/>
    <n v="0"/>
    <n v="0"/>
    <n v="0"/>
    <n v="0"/>
    <n v="0"/>
    <n v="0"/>
    <n v="0"/>
    <n v="0"/>
    <m/>
    <m/>
  </r>
  <r>
    <x v="13"/>
    <s v="Temple College "/>
    <m/>
    <n v="228608"/>
    <x v="7"/>
    <n v="97228"/>
    <n v="96850"/>
    <n v="50513"/>
    <n v="47872"/>
    <n v="15016"/>
    <n v="15447"/>
    <n v="31548"/>
    <n v="151"/>
    <n v="0"/>
    <n v="33271"/>
    <n v="260"/>
    <n v="0"/>
    <m/>
    <m/>
    <n v="0"/>
    <n v="0"/>
    <n v="0"/>
    <n v="0"/>
    <n v="0"/>
    <n v="0"/>
    <n v="0"/>
    <n v="0"/>
    <n v="0"/>
    <n v="0"/>
    <n v="0"/>
    <n v="0"/>
    <m/>
    <m/>
  </r>
  <r>
    <x v="13"/>
    <s v="Texarkana College "/>
    <m/>
    <n v="228699"/>
    <x v="7"/>
    <n v="77413"/>
    <n v="77306"/>
    <n v="48762"/>
    <n v="45918"/>
    <n v="12849"/>
    <n v="13231"/>
    <n v="15712"/>
    <n v="0"/>
    <n v="90"/>
    <n v="18094"/>
    <n v="0"/>
    <n v="63"/>
    <m/>
    <m/>
    <n v="0"/>
    <n v="0"/>
    <n v="0"/>
    <n v="0"/>
    <n v="0"/>
    <n v="0"/>
    <n v="0"/>
    <n v="0"/>
    <n v="0"/>
    <n v="0"/>
    <n v="0"/>
    <n v="0"/>
    <m/>
    <m/>
  </r>
  <r>
    <x v="13"/>
    <s v="Texas Southmost College "/>
    <m/>
    <n v="229072"/>
    <x v="7"/>
    <n v="89951"/>
    <n v="107573"/>
    <n v="69711"/>
    <n v="75955"/>
    <n v="19082"/>
    <n v="28717"/>
    <n v="1158"/>
    <n v="0"/>
    <n v="0"/>
    <n v="2901"/>
    <n v="0"/>
    <n v="0"/>
    <m/>
    <m/>
    <n v="0"/>
    <n v="0"/>
    <n v="0"/>
    <n v="0"/>
    <n v="0"/>
    <n v="0"/>
    <n v="0"/>
    <n v="0"/>
    <n v="0"/>
    <n v="0"/>
    <n v="0"/>
    <n v="0"/>
    <m/>
    <m/>
  </r>
  <r>
    <x v="13"/>
    <s v="Texas State Technical College-Harlingen "/>
    <m/>
    <n v="229319"/>
    <x v="7"/>
    <n v="113339"/>
    <n v="97411"/>
    <n v="95019"/>
    <n v="85124"/>
    <n v="10007"/>
    <n v="3369"/>
    <n v="8313"/>
    <n v="0"/>
    <n v="0"/>
    <n v="8918"/>
    <n v="0"/>
    <n v="0"/>
    <m/>
    <m/>
    <n v="0"/>
    <n v="0"/>
    <n v="0"/>
    <n v="0"/>
    <n v="0"/>
    <n v="0"/>
    <n v="0"/>
    <n v="0"/>
    <n v="0"/>
    <n v="0"/>
    <n v="0"/>
    <n v="0"/>
    <m/>
    <m/>
  </r>
  <r>
    <x v="13"/>
    <s v="Texas State Technical College-Waco"/>
    <m/>
    <n v="228680"/>
    <x v="7"/>
    <n v="109332"/>
    <n v="105877"/>
    <n v="95328"/>
    <n v="92106"/>
    <n v="5618"/>
    <n v="2794"/>
    <n v="8386"/>
    <n v="0"/>
    <n v="0"/>
    <n v="10974"/>
    <n v="0"/>
    <n v="3"/>
    <m/>
    <m/>
    <n v="0"/>
    <n v="0"/>
    <n v="0"/>
    <n v="0"/>
    <n v="0"/>
    <n v="0"/>
    <n v="0"/>
    <n v="0"/>
    <n v="0"/>
    <n v="0"/>
    <n v="0"/>
    <n v="0"/>
    <m/>
    <m/>
  </r>
  <r>
    <x v="13"/>
    <s v="Vernon College "/>
    <m/>
    <n v="229504"/>
    <x v="7"/>
    <n v="59803"/>
    <n v="57529"/>
    <n v="8863"/>
    <n v="8963"/>
    <n v="30553"/>
    <n v="28952"/>
    <n v="17075"/>
    <n v="3273"/>
    <n v="39"/>
    <n v="16669"/>
    <n v="2903"/>
    <n v="42"/>
    <m/>
    <m/>
    <n v="0"/>
    <n v="0"/>
    <n v="0"/>
    <n v="0"/>
    <n v="0"/>
    <n v="0"/>
    <n v="0"/>
    <n v="0"/>
    <n v="0"/>
    <n v="0"/>
    <n v="0"/>
    <n v="0"/>
    <m/>
    <m/>
  </r>
  <r>
    <x v="13"/>
    <s v="Victoria College "/>
    <m/>
    <n v="229540"/>
    <x v="7"/>
    <n v="70100"/>
    <n v="67008"/>
    <n v="45544"/>
    <n v="37780"/>
    <n v="3567"/>
    <n v="4210"/>
    <n v="18096"/>
    <n v="2893"/>
    <n v="0"/>
    <n v="17962"/>
    <n v="7056"/>
    <n v="0"/>
    <m/>
    <m/>
    <n v="0"/>
    <n v="0"/>
    <n v="0"/>
    <n v="0"/>
    <n v="0"/>
    <n v="0"/>
    <n v="0"/>
    <n v="0"/>
    <n v="0"/>
    <n v="0"/>
    <n v="0"/>
    <n v="0"/>
    <m/>
    <m/>
  </r>
  <r>
    <x v="13"/>
    <s v="Weatherford College "/>
    <m/>
    <n v="229799"/>
    <x v="7"/>
    <n v="114921"/>
    <n v="114335"/>
    <n v="61260"/>
    <n v="55733"/>
    <n v="15199"/>
    <n v="18758"/>
    <n v="37393"/>
    <n v="765"/>
    <n v="304"/>
    <n v="39421"/>
    <n v="414"/>
    <n v="9"/>
    <m/>
    <m/>
    <n v="0"/>
    <n v="0"/>
    <n v="0"/>
    <n v="0"/>
    <n v="0"/>
    <n v="0"/>
    <n v="0"/>
    <n v="0"/>
    <n v="0"/>
    <n v="0"/>
    <n v="0"/>
    <n v="0"/>
    <m/>
    <m/>
  </r>
  <r>
    <x v="13"/>
    <s v="Wharton County Junior College "/>
    <m/>
    <n v="229841"/>
    <x v="7"/>
    <n v="142601"/>
    <n v="139109"/>
    <n v="34000"/>
    <n v="32696"/>
    <n v="82042"/>
    <n v="80650"/>
    <n v="24287"/>
    <n v="2272"/>
    <n v="0"/>
    <n v="24620"/>
    <n v="1143"/>
    <n v="0"/>
    <m/>
    <m/>
    <n v="0"/>
    <n v="0"/>
    <n v="0"/>
    <n v="0"/>
    <n v="0"/>
    <n v="0"/>
    <n v="0"/>
    <n v="0"/>
    <n v="0"/>
    <n v="0"/>
    <n v="0"/>
    <n v="0"/>
    <m/>
    <m/>
  </r>
  <r>
    <x v="13"/>
    <s v="Clarendon College "/>
    <m/>
    <n v="223922"/>
    <x v="8"/>
    <n v="30961"/>
    <n v="31623"/>
    <n v="10597"/>
    <n v="10785"/>
    <n v="10508"/>
    <n v="9564"/>
    <n v="9316"/>
    <n v="540"/>
    <n v="0"/>
    <n v="10857"/>
    <n v="417"/>
    <n v="0"/>
    <m/>
    <m/>
    <n v="0"/>
    <n v="0"/>
    <n v="0"/>
    <n v="0"/>
    <n v="0"/>
    <n v="0"/>
    <n v="0"/>
    <n v="0"/>
    <n v="0"/>
    <n v="0"/>
    <n v="0"/>
    <n v="0"/>
    <m/>
    <m/>
  </r>
  <r>
    <x v="13"/>
    <s v="Frank Phillips College "/>
    <m/>
    <n v="224891"/>
    <x v="8"/>
    <n v="26644"/>
    <n v="25788"/>
    <n v="14714"/>
    <n v="13423"/>
    <n v="3661"/>
    <n v="3386"/>
    <n v="4964"/>
    <n v="15"/>
    <n v="3290"/>
    <n v="7450"/>
    <n v="12"/>
    <n v="1517"/>
    <m/>
    <m/>
    <n v="0"/>
    <n v="0"/>
    <n v="0"/>
    <n v="0"/>
    <n v="0"/>
    <n v="0"/>
    <n v="0"/>
    <n v="0"/>
    <n v="0"/>
    <n v="0"/>
    <n v="0"/>
    <n v="0"/>
    <m/>
    <m/>
  </r>
  <r>
    <x v="13"/>
    <s v="Galveston College "/>
    <m/>
    <n v="224961"/>
    <x v="8"/>
    <n v="42153"/>
    <n v="44992"/>
    <n v="25147"/>
    <n v="27010"/>
    <n v="165"/>
    <n v="187"/>
    <n v="16841"/>
    <n v="0"/>
    <n v="0"/>
    <n v="17795"/>
    <n v="0"/>
    <n v="0"/>
    <m/>
    <m/>
    <n v="0"/>
    <n v="0"/>
    <n v="0"/>
    <n v="0"/>
    <n v="0"/>
    <n v="0"/>
    <n v="0"/>
    <n v="0"/>
    <n v="0"/>
    <n v="0"/>
    <n v="0"/>
    <n v="0"/>
    <m/>
    <m/>
  </r>
  <r>
    <x v="13"/>
    <s v="Lamar State College-Orange"/>
    <m/>
    <n v="226107"/>
    <x v="8"/>
    <n v="44527"/>
    <n v="43645"/>
    <n v="28975"/>
    <n v="26498"/>
    <n v="435"/>
    <n v="673"/>
    <n v="15117"/>
    <n v="0"/>
    <n v="0"/>
    <n v="16474"/>
    <n v="0"/>
    <n v="0"/>
    <m/>
    <m/>
    <n v="0"/>
    <n v="0"/>
    <n v="0"/>
    <n v="0"/>
    <n v="0"/>
    <n v="0"/>
    <n v="0"/>
    <n v="0"/>
    <n v="0"/>
    <n v="0"/>
    <n v="0"/>
    <n v="0"/>
    <m/>
    <m/>
  </r>
  <r>
    <x v="13"/>
    <s v="Lamar State College-Port Arthur"/>
    <m/>
    <n v="226116"/>
    <x v="8"/>
    <n v="44855"/>
    <n v="46502"/>
    <n v="30542"/>
    <n v="31905"/>
    <n v="10563"/>
    <n v="8177"/>
    <n v="3750"/>
    <n v="0"/>
    <n v="0"/>
    <n v="6420"/>
    <n v="0"/>
    <n v="0"/>
    <m/>
    <m/>
    <n v="0"/>
    <n v="0"/>
    <n v="0"/>
    <n v="0"/>
    <n v="0"/>
    <n v="0"/>
    <n v="0"/>
    <n v="0"/>
    <n v="0"/>
    <n v="0"/>
    <n v="0"/>
    <n v="0"/>
    <m/>
    <m/>
  </r>
  <r>
    <x v="13"/>
    <s v="Northeast Lakeview College (ACCD)"/>
    <s v="Met the criteria for Two-Year 2 in 2018-19."/>
    <n v="488730"/>
    <x v="8"/>
    <n v="55857"/>
    <n v="73448"/>
    <n v="45414"/>
    <n v="58787"/>
    <n v="0"/>
    <n v="0"/>
    <n v="10443"/>
    <n v="0"/>
    <n v="0"/>
    <n v="14661"/>
    <n v="0"/>
    <n v="0"/>
    <m/>
    <m/>
    <n v="0"/>
    <n v="0"/>
    <n v="0"/>
    <n v="0"/>
    <n v="0"/>
    <n v="0"/>
    <n v="0"/>
    <n v="0"/>
    <n v="0"/>
    <n v="0"/>
    <n v="0"/>
    <n v="0"/>
    <m/>
    <m/>
  </r>
  <r>
    <x v="13"/>
    <s v="Panola College"/>
    <m/>
    <n v="227386"/>
    <x v="8"/>
    <n v="57184"/>
    <n v="55801"/>
    <n v="23042"/>
    <n v="20065"/>
    <n v="6949"/>
    <n v="6881"/>
    <n v="26638"/>
    <n v="555"/>
    <n v="0"/>
    <n v="28123"/>
    <n v="732"/>
    <n v="0"/>
    <m/>
    <m/>
    <n v="0"/>
    <n v="0"/>
    <n v="0"/>
    <n v="0"/>
    <n v="0"/>
    <n v="0"/>
    <n v="0"/>
    <n v="0"/>
    <n v="0"/>
    <n v="0"/>
    <n v="0"/>
    <n v="0"/>
    <m/>
    <m/>
  </r>
  <r>
    <x v="13"/>
    <s v="Ranger College "/>
    <m/>
    <n v="227687"/>
    <x v="8"/>
    <n v="47436"/>
    <n v="46464"/>
    <n v="10374"/>
    <n v="9583"/>
    <n v="18790"/>
    <n v="17457"/>
    <n v="15068"/>
    <n v="3074"/>
    <n v="130"/>
    <n v="17262"/>
    <n v="1834"/>
    <n v="328"/>
    <m/>
    <m/>
    <n v="0"/>
    <n v="0"/>
    <n v="0"/>
    <n v="0"/>
    <n v="0"/>
    <n v="0"/>
    <n v="0"/>
    <n v="0"/>
    <n v="0"/>
    <n v="0"/>
    <n v="0"/>
    <n v="0"/>
    <m/>
    <m/>
  </r>
  <r>
    <x v="13"/>
    <s v="Southwest Collegiate Institute for the Deaf (HCJCD)"/>
    <m/>
    <n v="382911"/>
    <x v="8"/>
    <n v="2095"/>
    <n v="1975"/>
    <n v="1840"/>
    <n v="1612"/>
    <n v="105"/>
    <n v="84"/>
    <n v="9"/>
    <n v="141"/>
    <n v="0"/>
    <n v="0"/>
    <n v="279"/>
    <n v="0"/>
    <m/>
    <m/>
    <n v="0"/>
    <n v="0"/>
    <n v="0"/>
    <n v="0"/>
    <n v="0"/>
    <n v="0"/>
    <n v="0"/>
    <n v="0"/>
    <n v="0"/>
    <n v="0"/>
    <n v="0"/>
    <n v="0"/>
    <m/>
    <m/>
  </r>
  <r>
    <x v="13"/>
    <s v="Texas State Technical College-Fort Bend"/>
    <s v="New Fall 2016"/>
    <s v="N/A"/>
    <x v="8"/>
    <n v="9537"/>
    <n v="10591"/>
    <n v="7681"/>
    <n v="7791"/>
    <n v="0"/>
    <n v="1800"/>
    <n v="1856"/>
    <n v="0"/>
    <n v="0"/>
    <n v="1000"/>
    <n v="0"/>
    <n v="0"/>
    <m/>
    <m/>
    <n v="0"/>
    <n v="0"/>
    <n v="0"/>
    <n v="0"/>
    <n v="0"/>
    <n v="0"/>
    <n v="0"/>
    <n v="0"/>
    <n v="0"/>
    <n v="0"/>
    <n v="0"/>
    <n v="0"/>
    <m/>
    <m/>
  </r>
  <r>
    <x v="13"/>
    <s v="Texas State Technical College-Marshall"/>
    <m/>
    <n v="408394"/>
    <x v="8"/>
    <n v="17266"/>
    <n v="13802"/>
    <n v="12021"/>
    <n v="9596"/>
    <n v="955"/>
    <n v="386"/>
    <n v="4290"/>
    <n v="0"/>
    <n v="0"/>
    <n v="3820"/>
    <n v="0"/>
    <n v="0"/>
    <m/>
    <m/>
    <n v="0"/>
    <n v="0"/>
    <n v="0"/>
    <n v="0"/>
    <n v="0"/>
    <n v="0"/>
    <n v="0"/>
    <n v="0"/>
    <n v="0"/>
    <n v="0"/>
    <n v="0"/>
    <n v="0"/>
    <m/>
    <m/>
  </r>
  <r>
    <x v="13"/>
    <s v="Texas State Technical College-North Texas"/>
    <s v="New Fall 2016"/>
    <s v="N/A"/>
    <x v="8"/>
    <n v="6008"/>
    <n v="6662"/>
    <n v="0"/>
    <n v="0"/>
    <n v="2323"/>
    <n v="1844"/>
    <n v="3685"/>
    <n v="0"/>
    <n v="0"/>
    <n v="4818"/>
    <n v="0"/>
    <n v="0"/>
    <m/>
    <m/>
    <n v="0"/>
    <n v="0"/>
    <n v="0"/>
    <n v="0"/>
    <n v="0"/>
    <n v="0"/>
    <n v="0"/>
    <n v="0"/>
    <n v="0"/>
    <n v="0"/>
    <n v="0"/>
    <n v="0"/>
    <m/>
    <m/>
  </r>
  <r>
    <x v="13"/>
    <s v="Texas State Technical College-West Texas"/>
    <m/>
    <n v="229328"/>
    <x v="8"/>
    <n v="30125"/>
    <n v="31101"/>
    <n v="8788"/>
    <n v="8508"/>
    <n v="7703"/>
    <n v="8266"/>
    <n v="13634"/>
    <n v="0"/>
    <n v="0"/>
    <n v="14217"/>
    <n v="110"/>
    <n v="0"/>
    <m/>
    <m/>
    <n v="0"/>
    <n v="0"/>
    <n v="0"/>
    <n v="0"/>
    <n v="0"/>
    <n v="0"/>
    <n v="0"/>
    <n v="0"/>
    <n v="0"/>
    <n v="0"/>
    <n v="0"/>
    <n v="0"/>
    <m/>
    <m/>
  </r>
  <r>
    <x v="13"/>
    <s v="University of North Texas at Dallas"/>
    <s v="New fall 2009. No degrees yet granted."/>
    <n v="443711"/>
    <x v="8"/>
    <n v="61641"/>
    <n v="69273"/>
    <n v="32032"/>
    <n v="33632"/>
    <n v="15"/>
    <n v="0"/>
    <n v="29594"/>
    <n v="0"/>
    <n v="0"/>
    <n v="35521"/>
    <n v="0"/>
    <n v="120"/>
    <m/>
    <m/>
    <n v="16175"/>
    <n v="16216"/>
    <n v="2256"/>
    <n v="1761"/>
    <n v="9810"/>
    <n v="9293"/>
    <n v="4109"/>
    <n v="0"/>
    <n v="0"/>
    <n v="5162"/>
    <n v="0"/>
    <n v="0"/>
    <m/>
    <m/>
  </r>
  <r>
    <x v="13"/>
    <s v="Western Texas College "/>
    <m/>
    <n v="229832"/>
    <x v="8"/>
    <n v="45765"/>
    <n v="46571"/>
    <n v="13053"/>
    <n v="12723"/>
    <n v="5093"/>
    <n v="4873"/>
    <n v="25234"/>
    <n v="2385"/>
    <n v="0"/>
    <n v="27348"/>
    <n v="1627"/>
    <n v="0"/>
    <m/>
    <m/>
    <n v="0"/>
    <n v="0"/>
    <n v="0"/>
    <n v="0"/>
    <n v="0"/>
    <n v="0"/>
    <n v="0"/>
    <n v="0"/>
    <n v="0"/>
    <n v="0"/>
    <n v="0"/>
    <n v="0"/>
    <m/>
    <m/>
  </r>
  <r>
    <x v="14"/>
    <s v="George Mason University "/>
    <m/>
    <n v="232186"/>
    <x v="0"/>
    <n v="694269"/>
    <n v="725722.5"/>
    <n v="598291"/>
    <n v="611251.5"/>
    <n v="15954"/>
    <n v="16432"/>
    <n v="75611"/>
    <n v="4413"/>
    <m/>
    <n v="93407"/>
    <n v="4632"/>
    <n v="0"/>
    <m/>
    <m/>
    <n v="166655"/>
    <n v="168370.5"/>
    <n v="121763"/>
    <n v="125528.5"/>
    <n v="17736"/>
    <n v="11118.5"/>
    <n v="21684.5"/>
    <n v="5471.5"/>
    <m/>
    <n v="25520"/>
    <n v="6203.5"/>
    <n v="0"/>
    <m/>
    <m/>
  </r>
  <r>
    <x v="14"/>
    <s v="Old Dominion University "/>
    <m/>
    <n v="232982"/>
    <x v="0"/>
    <n v="514112"/>
    <n v="506785"/>
    <n v="379205"/>
    <n v="358145"/>
    <n v="123"/>
    <n v="158"/>
    <n v="113591"/>
    <n v="20957"/>
    <n v="236"/>
    <n v="127598"/>
    <n v="20816"/>
    <n v="68"/>
    <m/>
    <m/>
    <n v="68109"/>
    <n v="68417"/>
    <n v="34404"/>
    <n v="33793"/>
    <n v="400"/>
    <n v="322"/>
    <n v="19348"/>
    <n v="11664"/>
    <n v="2293"/>
    <n v="22370"/>
    <n v="10392"/>
    <n v="1540"/>
    <m/>
    <m/>
  </r>
  <r>
    <x v="14"/>
    <s v="University of Virginia"/>
    <m/>
    <n v="234076"/>
    <x v="0"/>
    <n v="490976.5"/>
    <n v="497384"/>
    <n v="467098.5"/>
    <n v="471212.5"/>
    <n v="17081"/>
    <n v="16654.5"/>
    <n v="5789"/>
    <n v="1008"/>
    <m/>
    <n v="9061"/>
    <n v="456"/>
    <n v="0"/>
    <m/>
    <m/>
    <n v="189753.5"/>
    <n v="194776"/>
    <n v="169051"/>
    <n v="169112.5"/>
    <n v="10212"/>
    <n v="13129.5"/>
    <n v="9147"/>
    <n v="1343.5"/>
    <m/>
    <n v="10753"/>
    <n v="1781"/>
    <n v="0"/>
    <m/>
    <m/>
  </r>
  <r>
    <x v="14"/>
    <s v="Virginia Commonwealth University"/>
    <m/>
    <n v="234030"/>
    <x v="0"/>
    <n v="653057"/>
    <n v="644945.5"/>
    <n v="587135"/>
    <n v="573032"/>
    <n v="8343"/>
    <n v="7773"/>
    <n v="56796"/>
    <n v="783"/>
    <m/>
    <n v="62562.5"/>
    <n v="1578"/>
    <n v="0"/>
    <m/>
    <m/>
    <n v="132449.5"/>
    <n v="133045.5"/>
    <n v="115769.5"/>
    <n v="114369.5"/>
    <n v="4600"/>
    <n v="4092"/>
    <n v="11570"/>
    <n v="510"/>
    <m/>
    <n v="14084"/>
    <n v="500"/>
    <n v="0"/>
    <m/>
    <m/>
  </r>
  <r>
    <x v="14"/>
    <s v="Virginia Tech "/>
    <m/>
    <n v="233921"/>
    <x v="0"/>
    <n v="825930"/>
    <n v="855575"/>
    <n v="802681"/>
    <n v="830986"/>
    <n v="267"/>
    <n v="295"/>
    <n v="21678"/>
    <n v="1304"/>
    <m/>
    <n v="22982"/>
    <n v="1312"/>
    <n v="0"/>
    <m/>
    <m/>
    <n v="150006"/>
    <n v="145354"/>
    <n v="114608"/>
    <n v="111242"/>
    <n v="19771"/>
    <n v="18145"/>
    <n v="10971"/>
    <n v="4656"/>
    <m/>
    <n v="12177"/>
    <n v="3790"/>
    <n v="0"/>
    <m/>
    <m/>
  </r>
  <r>
    <x v="14"/>
    <s v="College of William &amp; Mary"/>
    <m/>
    <n v="231624"/>
    <x v="1"/>
    <n v="186460.5"/>
    <n v="186440.5"/>
    <n v="180682.5"/>
    <n v="181070.5"/>
    <n v="5127"/>
    <n v="4630"/>
    <n v="635"/>
    <n v="16"/>
    <m/>
    <n v="720"/>
    <n v="20"/>
    <n v="0"/>
    <m/>
    <m/>
    <n v="61157.5"/>
    <n v="61312.5"/>
    <n v="50384"/>
    <n v="48944"/>
    <n v="5022.5"/>
    <n v="4751.5"/>
    <n v="5631"/>
    <n v="120"/>
    <m/>
    <n v="7587"/>
    <n v="30"/>
    <n v="0"/>
    <m/>
    <m/>
  </r>
  <r>
    <x v="14"/>
    <s v="James Madison University"/>
    <m/>
    <n v="232423"/>
    <x v="2"/>
    <n v="587745"/>
    <n v="592536"/>
    <n v="545870"/>
    <n v="548934"/>
    <n v="11733"/>
    <n v="12348"/>
    <n v="30142"/>
    <n v="0"/>
    <m/>
    <n v="30996"/>
    <n v="258"/>
    <n v="0"/>
    <m/>
    <m/>
    <n v="35265"/>
    <n v="35833"/>
    <n v="25614"/>
    <n v="25141"/>
    <n v="3060"/>
    <n v="2846"/>
    <n v="6591"/>
    <n v="0"/>
    <m/>
    <n v="7846"/>
    <n v="0"/>
    <n v="0"/>
    <m/>
    <m/>
  </r>
  <r>
    <x v="14"/>
    <s v="Longwood University "/>
    <s v="Met the criteria for Four-Year 5 in 2018-19."/>
    <n v="232566"/>
    <x v="2"/>
    <n v="128203.5"/>
    <n v="124140"/>
    <n v="112452.5"/>
    <n v="108948"/>
    <n v="2635"/>
    <n v="2644"/>
    <n v="13095"/>
    <n v="21"/>
    <m/>
    <n v="12548"/>
    <n v="0"/>
    <n v="0"/>
    <m/>
    <m/>
    <n v="9908"/>
    <n v="10679"/>
    <n v="3936"/>
    <n v="3719"/>
    <n v="2763"/>
    <n v="3202"/>
    <n v="3125"/>
    <n v="84"/>
    <m/>
    <n v="3680"/>
    <n v="78"/>
    <n v="0"/>
    <m/>
    <m/>
  </r>
  <r>
    <x v="14"/>
    <s v="Norfolk State University "/>
    <s v="Met the criteria for Four-Year 4 in 2018-19."/>
    <n v="232937"/>
    <x v="2"/>
    <n v="127997"/>
    <n v="127882"/>
    <n v="100320"/>
    <n v="99672"/>
    <n v="1109"/>
    <n v="313"/>
    <n v="26568"/>
    <n v="0"/>
    <m/>
    <n v="27897"/>
    <n v="0"/>
    <n v="0"/>
    <m/>
    <m/>
    <n v="11736"/>
    <n v="10883"/>
    <n v="9093"/>
    <n v="8396"/>
    <n v="0"/>
    <n v="12"/>
    <n v="2643"/>
    <n v="0"/>
    <m/>
    <n v="2475"/>
    <n v="0"/>
    <n v="0"/>
    <m/>
    <m/>
  </r>
  <r>
    <x v="14"/>
    <s v="Radford University"/>
    <m/>
    <n v="233277"/>
    <x v="2"/>
    <n v="248697.5"/>
    <n v="237754.7"/>
    <n v="218310"/>
    <n v="204927"/>
    <n v="3788.5"/>
    <n v="3936.7"/>
    <n v="25066"/>
    <n v="1533"/>
    <m/>
    <n v="28310"/>
    <n v="581"/>
    <n v="0"/>
    <m/>
    <m/>
    <n v="20776"/>
    <n v="21771"/>
    <n v="10895"/>
    <n v="10609"/>
    <n v="3882"/>
    <n v="4594"/>
    <n v="4133"/>
    <n v="1866"/>
    <m/>
    <n v="4521"/>
    <n v="2047"/>
    <n v="0"/>
    <m/>
    <m/>
  </r>
  <r>
    <x v="14"/>
    <s v="University of Mary Washington "/>
    <s v="Met the criteria for Four-Year 5 in 2018-19."/>
    <n v="232681"/>
    <x v="2"/>
    <n v="122638"/>
    <n v="122842"/>
    <n v="114512"/>
    <n v="113852"/>
    <n v="0"/>
    <n v="0"/>
    <n v="8015"/>
    <n v="111"/>
    <m/>
    <n v="8842"/>
    <n v="148"/>
    <n v="0"/>
    <m/>
    <m/>
    <n v="6063"/>
    <n v="5422.4"/>
    <n v="4053.2"/>
    <n v="3174.4"/>
    <n v="0"/>
    <n v="0"/>
    <n v="2009.8"/>
    <n v="0"/>
    <m/>
    <n v="2248"/>
    <n v="0"/>
    <n v="0"/>
    <m/>
    <m/>
  </r>
  <r>
    <x v="14"/>
    <s v="Virginia State University "/>
    <m/>
    <n v="234155"/>
    <x v="2"/>
    <n v="127084.1"/>
    <n v="122711"/>
    <n v="117214.1"/>
    <n v="106760"/>
    <n v="540"/>
    <n v="297"/>
    <n v="9330"/>
    <n v="0"/>
    <m/>
    <n v="15654"/>
    <n v="0"/>
    <n v="0"/>
    <m/>
    <m/>
    <n v="6759"/>
    <n v="6123"/>
    <n v="6621"/>
    <n v="5493"/>
    <n v="27"/>
    <n v="0"/>
    <n v="111"/>
    <n v="0"/>
    <m/>
    <n v="630"/>
    <n v="0"/>
    <n v="0"/>
    <m/>
    <m/>
  </r>
  <r>
    <x v="14"/>
    <s v="Christopher Newport University"/>
    <m/>
    <n v="231712"/>
    <x v="4"/>
    <n v="144046"/>
    <n v="141653"/>
    <n v="143280"/>
    <n v="141111"/>
    <n v="766"/>
    <n v="542"/>
    <n v="0"/>
    <n v="0"/>
    <m/>
    <n v="0"/>
    <n v="0"/>
    <n v="0"/>
    <m/>
    <m/>
    <n v="3412"/>
    <n v="3022"/>
    <n v="3355"/>
    <n v="2980"/>
    <n v="57"/>
    <n v="42"/>
    <n v="0"/>
    <m/>
    <m/>
    <m/>
    <m/>
    <m/>
    <m/>
    <m/>
  </r>
  <r>
    <x v="14"/>
    <s v="University of Virginia's College at Wise "/>
    <m/>
    <n v="233897"/>
    <x v="5"/>
    <n v="47928"/>
    <n v="46337"/>
    <n v="37089"/>
    <n v="34821"/>
    <n v="0"/>
    <n v="0"/>
    <n v="10839"/>
    <n v="0"/>
    <m/>
    <n v="11516"/>
    <n v="0"/>
    <n v="0"/>
    <m/>
    <m/>
    <n v="0"/>
    <n v="0"/>
    <m/>
    <m/>
    <m/>
    <m/>
    <m/>
    <m/>
    <m/>
    <m/>
    <m/>
    <m/>
    <m/>
    <m/>
  </r>
  <r>
    <x v="14"/>
    <s v="J.S. Reynolds Community College"/>
    <m/>
    <n v="232414"/>
    <x v="6"/>
    <n v="180457"/>
    <n v="168782"/>
    <n v="103895"/>
    <n v="92423"/>
    <n v="12870"/>
    <n v="13808"/>
    <n v="63602"/>
    <n v="90"/>
    <m/>
    <n v="62479"/>
    <n v="72"/>
    <n v="0"/>
    <m/>
    <m/>
    <n v="0"/>
    <n v="0"/>
    <m/>
    <m/>
    <m/>
    <m/>
    <m/>
    <m/>
    <m/>
    <m/>
    <m/>
    <m/>
    <m/>
    <m/>
  </r>
  <r>
    <x v="14"/>
    <s v="John Tyler Community College"/>
    <m/>
    <n v="232450"/>
    <x v="6"/>
    <n v="164559"/>
    <n v="164153"/>
    <n v="87885"/>
    <n v="84765"/>
    <n v="24470"/>
    <n v="26618"/>
    <n v="52086"/>
    <n v="118"/>
    <m/>
    <n v="52670"/>
    <n v="100"/>
    <n v="0"/>
    <m/>
    <m/>
    <n v="0"/>
    <n v="0"/>
    <m/>
    <m/>
    <m/>
    <m/>
    <m/>
    <m/>
    <m/>
    <m/>
    <m/>
    <m/>
    <m/>
    <m/>
  </r>
  <r>
    <x v="14"/>
    <s v="Northern Virginia Community College "/>
    <m/>
    <n v="232946"/>
    <x v="6"/>
    <n v="978221"/>
    <n v="951259"/>
    <n v="672226"/>
    <n v="628164"/>
    <n v="78830"/>
    <n v="97572"/>
    <n v="226022"/>
    <n v="1143"/>
    <m/>
    <n v="225169"/>
    <n v="354"/>
    <n v="0"/>
    <m/>
    <m/>
    <n v="0"/>
    <n v="0"/>
    <m/>
    <m/>
    <m/>
    <m/>
    <m/>
    <m/>
    <m/>
    <m/>
    <m/>
    <m/>
    <m/>
    <m/>
  </r>
  <r>
    <x v="14"/>
    <s v="Thomas Nelson Community College "/>
    <m/>
    <n v="233754"/>
    <x v="6"/>
    <n v="161970"/>
    <n v="150814"/>
    <n v="95114"/>
    <n v="82502"/>
    <n v="13134"/>
    <n v="14295"/>
    <n v="53618"/>
    <n v="104"/>
    <m/>
    <n v="53819"/>
    <n v="198"/>
    <n v="0"/>
    <m/>
    <m/>
    <n v="0"/>
    <n v="0"/>
    <m/>
    <m/>
    <m/>
    <m/>
    <m/>
    <m/>
    <m/>
    <m/>
    <m/>
    <m/>
    <m/>
    <m/>
  </r>
  <r>
    <x v="14"/>
    <s v="Tidewater Community College "/>
    <m/>
    <n v="233772"/>
    <x v="6"/>
    <n v="463965"/>
    <n v="430782"/>
    <n v="286767"/>
    <n v="256638"/>
    <n v="30441"/>
    <n v="29329"/>
    <n v="146642"/>
    <n v="115"/>
    <m/>
    <n v="144740"/>
    <n v="75"/>
    <n v="0"/>
    <m/>
    <m/>
    <n v="0"/>
    <n v="0"/>
    <m/>
    <m/>
    <m/>
    <m/>
    <m/>
    <m/>
    <m/>
    <m/>
    <m/>
    <m/>
    <m/>
    <m/>
  </r>
  <r>
    <x v="14"/>
    <s v="Blue Ridge Community College "/>
    <m/>
    <n v="231536"/>
    <x v="7"/>
    <n v="72356"/>
    <n v="71838"/>
    <n v="35543"/>
    <n v="34159"/>
    <n v="8127"/>
    <n v="8975"/>
    <n v="28686"/>
    <n v="0"/>
    <m/>
    <n v="28704"/>
    <n v="0"/>
    <n v="0"/>
    <m/>
    <m/>
    <n v="0"/>
    <n v="0"/>
    <m/>
    <m/>
    <m/>
    <m/>
    <m/>
    <m/>
    <m/>
    <m/>
    <m/>
    <m/>
    <m/>
    <m/>
  </r>
  <r>
    <x v="14"/>
    <s v="Central Virginia Community College "/>
    <m/>
    <n v="231697"/>
    <x v="7"/>
    <n v="73003"/>
    <n v="72190"/>
    <n v="39901"/>
    <n v="37088"/>
    <n v="14245"/>
    <n v="14862"/>
    <n v="15364"/>
    <n v="3493"/>
    <m/>
    <n v="16476"/>
    <n v="3764"/>
    <n v="0"/>
    <m/>
    <m/>
    <n v="0"/>
    <n v="0"/>
    <m/>
    <m/>
    <m/>
    <m/>
    <m/>
    <m/>
    <m/>
    <m/>
    <m/>
    <m/>
    <m/>
    <m/>
  </r>
  <r>
    <x v="14"/>
    <s v="Danville Community College "/>
    <s v="Reclassified: Met the criteria for Two-Year 3 in 2016-17, 2017-18, and 2018-19. "/>
    <n v="231882"/>
    <x v="8"/>
    <n v="58158"/>
    <n v="52844"/>
    <n v="27684"/>
    <n v="25954"/>
    <n v="22609"/>
    <n v="18128"/>
    <n v="6960"/>
    <n v="905"/>
    <m/>
    <n v="8013"/>
    <n v="749"/>
    <n v="0"/>
    <m/>
    <m/>
    <n v="0"/>
    <n v="0"/>
    <m/>
    <m/>
    <m/>
    <m/>
    <m/>
    <m/>
    <m/>
    <m/>
    <m/>
    <m/>
    <m/>
    <m/>
  </r>
  <r>
    <x v="14"/>
    <s v="Germanna Community College"/>
    <m/>
    <n v="232195"/>
    <x v="7"/>
    <n v="123961"/>
    <n v="125951"/>
    <n v="64197"/>
    <n v="61197"/>
    <n v="14198"/>
    <n v="17743"/>
    <n v="33105"/>
    <n v="12461"/>
    <m/>
    <n v="33914"/>
    <n v="13097"/>
    <n v="0"/>
    <m/>
    <m/>
    <n v="0"/>
    <n v="0"/>
    <m/>
    <m/>
    <m/>
    <m/>
    <m/>
    <m/>
    <m/>
    <m/>
    <m/>
    <m/>
    <m/>
    <m/>
  </r>
  <r>
    <x v="14"/>
    <s v="Lord Fairfax Community College"/>
    <m/>
    <n v="232575"/>
    <x v="7"/>
    <n v="118021"/>
    <n v="119684"/>
    <n v="42373"/>
    <n v="40481"/>
    <n v="31514"/>
    <n v="33538"/>
    <n v="35064"/>
    <n v="9070"/>
    <m/>
    <n v="34937"/>
    <n v="10728"/>
    <n v="0"/>
    <m/>
    <m/>
    <n v="0"/>
    <n v="0"/>
    <m/>
    <m/>
    <m/>
    <m/>
    <m/>
    <m/>
    <m/>
    <m/>
    <m/>
    <m/>
    <m/>
    <m/>
  </r>
  <r>
    <x v="14"/>
    <s v="New River Community College "/>
    <m/>
    <n v="232867"/>
    <x v="7"/>
    <n v="85066"/>
    <n v="82454"/>
    <n v="20884"/>
    <n v="18747"/>
    <n v="33433"/>
    <n v="34371"/>
    <n v="29769"/>
    <n v="980"/>
    <m/>
    <n v="28293"/>
    <n v="1043"/>
    <n v="0"/>
    <m/>
    <m/>
    <n v="0"/>
    <n v="0"/>
    <m/>
    <m/>
    <m/>
    <m/>
    <m/>
    <m/>
    <m/>
    <m/>
    <m/>
    <m/>
    <m/>
    <m/>
  </r>
  <r>
    <x v="14"/>
    <s v="Piedmont Virginia Community College "/>
    <m/>
    <n v="233116"/>
    <x v="7"/>
    <n v="89103"/>
    <n v="87230"/>
    <n v="51709"/>
    <n v="48202"/>
    <n v="19627"/>
    <n v="19064"/>
    <n v="17459"/>
    <n v="308"/>
    <m/>
    <n v="19008"/>
    <n v="956"/>
    <n v="0"/>
    <m/>
    <m/>
    <n v="0"/>
    <n v="0"/>
    <m/>
    <m/>
    <m/>
    <m/>
    <m/>
    <m/>
    <m/>
    <m/>
    <m/>
    <m/>
    <m/>
    <m/>
  </r>
  <r>
    <x v="14"/>
    <s v="Southside Virginia Community College"/>
    <m/>
    <n v="233639"/>
    <x v="7"/>
    <n v="68359"/>
    <n v="62774"/>
    <n v="15905"/>
    <n v="14222"/>
    <n v="30046"/>
    <n v="27583"/>
    <n v="21240"/>
    <n v="1168"/>
    <m/>
    <n v="19519"/>
    <n v="1450"/>
    <n v="0"/>
    <m/>
    <m/>
    <n v="0"/>
    <n v="0"/>
    <m/>
    <m/>
    <m/>
    <m/>
    <m/>
    <m/>
    <m/>
    <m/>
    <m/>
    <m/>
    <m/>
    <m/>
  </r>
  <r>
    <x v="14"/>
    <s v="Virginia Western Community College "/>
    <m/>
    <n v="233949"/>
    <x v="7"/>
    <n v="123469"/>
    <n v="114617"/>
    <n v="66254"/>
    <n v="59489"/>
    <n v="27748"/>
    <n v="24210"/>
    <n v="21656"/>
    <n v="7811"/>
    <m/>
    <n v="23317"/>
    <n v="7601"/>
    <n v="0"/>
    <m/>
    <m/>
    <n v="0"/>
    <n v="0"/>
    <m/>
    <m/>
    <m/>
    <m/>
    <m/>
    <m/>
    <m/>
    <m/>
    <m/>
    <m/>
    <m/>
    <m/>
  </r>
  <r>
    <x v="14"/>
    <s v="D.S. Lancaster Community College "/>
    <m/>
    <n v="231873"/>
    <x v="8"/>
    <n v="21316"/>
    <n v="19299"/>
    <n v="8644"/>
    <n v="8127"/>
    <n v="6221"/>
    <n v="4517"/>
    <n v="4246"/>
    <n v="2205"/>
    <m/>
    <n v="4620"/>
    <n v="2035"/>
    <n v="0"/>
    <m/>
    <m/>
    <n v="0"/>
    <n v="0"/>
    <m/>
    <m/>
    <m/>
    <m/>
    <m/>
    <m/>
    <m/>
    <m/>
    <m/>
    <m/>
    <m/>
    <m/>
  </r>
  <r>
    <x v="14"/>
    <s v="Eastern Shore Community College"/>
    <m/>
    <n v="232052"/>
    <x v="8"/>
    <n v="11109"/>
    <n v="10868"/>
    <n v="7074"/>
    <n v="6750"/>
    <n v="2351"/>
    <n v="2555"/>
    <n v="1684"/>
    <n v="0"/>
    <m/>
    <n v="1563"/>
    <n v="0"/>
    <n v="0"/>
    <m/>
    <m/>
    <n v="0"/>
    <n v="0"/>
    <m/>
    <m/>
    <m/>
    <m/>
    <m/>
    <m/>
    <m/>
    <m/>
    <m/>
    <m/>
    <m/>
    <m/>
  </r>
  <r>
    <x v="14"/>
    <s v="Mountain Empire Community College"/>
    <m/>
    <n v="232788"/>
    <x v="8"/>
    <n v="50141"/>
    <n v="46652"/>
    <n v="22122"/>
    <n v="19234"/>
    <n v="9522"/>
    <n v="8103"/>
    <n v="16386"/>
    <n v="2111"/>
    <m/>
    <n v="16965"/>
    <n v="2350"/>
    <n v="0"/>
    <m/>
    <m/>
    <n v="0"/>
    <n v="0"/>
    <m/>
    <m/>
    <m/>
    <m/>
    <m/>
    <m/>
    <m/>
    <m/>
    <m/>
    <m/>
    <m/>
    <m/>
  </r>
  <r>
    <x v="14"/>
    <s v="Patrick Henry Community College "/>
    <m/>
    <n v="233019"/>
    <x v="8"/>
    <n v="48583"/>
    <n v="49783"/>
    <n v="20243"/>
    <n v="20291"/>
    <n v="7603"/>
    <n v="7399"/>
    <n v="17629"/>
    <n v="3108"/>
    <m/>
    <n v="19105"/>
    <n v="2988"/>
    <n v="0"/>
    <m/>
    <m/>
    <n v="0"/>
    <n v="0"/>
    <m/>
    <m/>
    <m/>
    <m/>
    <m/>
    <m/>
    <m/>
    <m/>
    <m/>
    <m/>
    <m/>
    <m/>
  </r>
  <r>
    <x v="14"/>
    <s v="Paul D. Camp Community College"/>
    <m/>
    <n v="233037"/>
    <x v="8"/>
    <n v="24056"/>
    <n v="23420"/>
    <n v="7875"/>
    <n v="6843"/>
    <n v="6388"/>
    <n v="5509"/>
    <n v="9373"/>
    <n v="420"/>
    <m/>
    <n v="10021"/>
    <n v="1047"/>
    <n v="0"/>
    <m/>
    <m/>
    <n v="0"/>
    <n v="0"/>
    <m/>
    <m/>
    <m/>
    <m/>
    <m/>
    <m/>
    <m/>
    <m/>
    <m/>
    <m/>
    <m/>
    <m/>
  </r>
  <r>
    <x v="14"/>
    <s v="Rappahannock Community College"/>
    <m/>
    <n v="233310"/>
    <x v="8"/>
    <n v="56607"/>
    <n v="53839"/>
    <n v="12536"/>
    <n v="11078"/>
    <n v="19258"/>
    <n v="17960"/>
    <n v="15096"/>
    <n v="9717"/>
    <m/>
    <n v="15159"/>
    <n v="9642"/>
    <n v="0"/>
    <m/>
    <m/>
    <n v="0"/>
    <n v="0"/>
    <m/>
    <m/>
    <m/>
    <m/>
    <m/>
    <m/>
    <m/>
    <m/>
    <m/>
    <m/>
    <m/>
    <m/>
  </r>
  <r>
    <x v="14"/>
    <s v="Richard Bland College "/>
    <m/>
    <n v="233338"/>
    <x v="8"/>
    <n v="36873"/>
    <n v="37951"/>
    <n v="22342"/>
    <n v="20650"/>
    <n v="10291"/>
    <n v="12642"/>
    <n v="4240"/>
    <n v="0"/>
    <m/>
    <n v="4659"/>
    <n v="0"/>
    <n v="0"/>
    <m/>
    <m/>
    <n v="0"/>
    <n v="0"/>
    <m/>
    <m/>
    <m/>
    <m/>
    <m/>
    <m/>
    <m/>
    <m/>
    <m/>
    <m/>
    <m/>
    <m/>
  </r>
  <r>
    <x v="14"/>
    <s v="Southwest Virginia Community College "/>
    <m/>
    <n v="233648"/>
    <x v="8"/>
    <n v="49072"/>
    <n v="48367"/>
    <n v="16183"/>
    <n v="15397"/>
    <n v="8871"/>
    <n v="9153"/>
    <n v="19616"/>
    <n v="4402"/>
    <m/>
    <n v="20499"/>
    <n v="3318"/>
    <n v="0"/>
    <m/>
    <m/>
    <n v="0"/>
    <n v="0"/>
    <m/>
    <m/>
    <m/>
    <m/>
    <m/>
    <m/>
    <m/>
    <m/>
    <m/>
    <m/>
    <m/>
    <m/>
  </r>
  <r>
    <x v="14"/>
    <s v="Virginia Highlands Community College "/>
    <m/>
    <n v="233903"/>
    <x v="8"/>
    <n v="44181"/>
    <n v="43785"/>
    <n v="18100"/>
    <n v="16768"/>
    <n v="8540"/>
    <n v="8530"/>
    <n v="15721"/>
    <n v="1820"/>
    <m/>
    <n v="16584"/>
    <n v="1903"/>
    <n v="0"/>
    <m/>
    <m/>
    <n v="0"/>
    <n v="0"/>
    <m/>
    <m/>
    <m/>
    <m/>
    <m/>
    <m/>
    <m/>
    <m/>
    <m/>
    <m/>
    <m/>
    <m/>
  </r>
  <r>
    <x v="14"/>
    <s v="Wytheville Community College "/>
    <m/>
    <n v="234377"/>
    <x v="8"/>
    <n v="49842"/>
    <n v="48184"/>
    <n v="8385"/>
    <n v="7071"/>
    <n v="15031"/>
    <n v="14536"/>
    <n v="21532"/>
    <n v="4894"/>
    <m/>
    <n v="20891"/>
    <n v="5686"/>
    <n v="0"/>
    <m/>
    <m/>
    <n v="0"/>
    <n v="0"/>
    <m/>
    <m/>
    <m/>
    <m/>
    <m/>
    <m/>
    <m/>
    <m/>
    <m/>
    <m/>
    <m/>
    <m/>
  </r>
  <r>
    <x v="15"/>
    <s v="West Virginia University"/>
    <m/>
    <n v="238032"/>
    <x v="0"/>
    <n v="652521"/>
    <n v="625795"/>
    <n v="575572"/>
    <n v="549400"/>
    <n v="1657"/>
    <n v="3326"/>
    <n v="71146"/>
    <n v="0"/>
    <n v="4146"/>
    <n v="70687"/>
    <m/>
    <n v="2382"/>
    <n v="0"/>
    <m/>
    <n v="91119"/>
    <n v="86140"/>
    <n v="59921"/>
    <n v="58056"/>
    <n v="4443"/>
    <n v="3436"/>
    <n v="26307"/>
    <m/>
    <n v="448"/>
    <n v="24048"/>
    <m/>
    <n v="600"/>
    <m/>
    <m/>
  </r>
  <r>
    <x v="15"/>
    <s v="Marshall University "/>
    <m/>
    <n v="237525"/>
    <x v="2"/>
    <n v="261348"/>
    <n v="256593"/>
    <n v="194603"/>
    <n v="186088"/>
    <n v="22994"/>
    <n v="25065"/>
    <n v="39900"/>
    <n v="3851"/>
    <n v="0"/>
    <n v="41763"/>
    <n v="3677"/>
    <m/>
    <n v="0"/>
    <m/>
    <n v="69223"/>
    <n v="67756"/>
    <n v="36625"/>
    <n v="35104"/>
    <n v="16226"/>
    <n v="10880"/>
    <n v="15668"/>
    <n v="704"/>
    <m/>
    <n v="21047"/>
    <n v="725"/>
    <m/>
    <m/>
    <m/>
  </r>
  <r>
    <x v="15"/>
    <s v="Concord University "/>
    <m/>
    <n v="237330"/>
    <x v="4"/>
    <n v="56093"/>
    <n v="51204"/>
    <n v="37992"/>
    <n v="33786"/>
    <n v="6343"/>
    <n v="4350"/>
    <n v="11644"/>
    <n v="114"/>
    <n v="0"/>
    <n v="12063"/>
    <n v="1005"/>
    <m/>
    <n v="0"/>
    <m/>
    <n v="6465"/>
    <n v="6120"/>
    <n v="315"/>
    <n v="387"/>
    <m/>
    <m/>
    <n v="6150"/>
    <m/>
    <m/>
    <n v="5733"/>
    <m/>
    <m/>
    <m/>
    <m/>
  </r>
  <r>
    <x v="15"/>
    <s v="Fairmont State University"/>
    <m/>
    <n v="237367"/>
    <x v="4"/>
    <n v="100586"/>
    <n v="99986"/>
    <n v="81761"/>
    <n v="75601"/>
    <n v="4218"/>
    <n v="1945"/>
    <n v="14607"/>
    <n v="0"/>
    <n v="0"/>
    <n v="22440"/>
    <m/>
    <m/>
    <n v="0"/>
    <m/>
    <n v="4241"/>
    <n v="4142"/>
    <n v="2247"/>
    <n v="1170"/>
    <n v="230"/>
    <m/>
    <n v="1764"/>
    <m/>
    <m/>
    <n v="2972"/>
    <m/>
    <m/>
    <m/>
    <m/>
  </r>
  <r>
    <x v="15"/>
    <s v="Shepherd University "/>
    <m/>
    <n v="237792"/>
    <x v="4"/>
    <n v="86320"/>
    <n v="84143"/>
    <n v="78479"/>
    <n v="74856"/>
    <n v="0"/>
    <n v="0"/>
    <n v="7841"/>
    <n v="0"/>
    <n v="0"/>
    <n v="9287"/>
    <m/>
    <m/>
    <n v="0"/>
    <m/>
    <n v="5699"/>
    <n v="6246"/>
    <n v="4810"/>
    <n v="4960"/>
    <n v="0"/>
    <m/>
    <n v="889"/>
    <m/>
    <m/>
    <n v="1274"/>
    <n v="12"/>
    <m/>
    <m/>
    <m/>
  </r>
  <r>
    <x v="15"/>
    <s v="West Liberty University"/>
    <m/>
    <n v="237932"/>
    <x v="4"/>
    <n v="61439"/>
    <n v="61815"/>
    <n v="52926"/>
    <n v="54298"/>
    <n v="2473"/>
    <n v="2373"/>
    <n v="6040"/>
    <n v="0"/>
    <n v="0"/>
    <n v="5144"/>
    <m/>
    <m/>
    <n v="0"/>
    <m/>
    <n v="5537"/>
    <n v="5790"/>
    <n v="2141"/>
    <n v="2568"/>
    <n v="1521"/>
    <n v="1224"/>
    <n v="1875"/>
    <m/>
    <m/>
    <n v="1998"/>
    <m/>
    <m/>
    <m/>
    <m/>
  </r>
  <r>
    <x v="15"/>
    <s v="Bluefield State College "/>
    <m/>
    <n v="237215"/>
    <x v="5"/>
    <n v="36110"/>
    <n v="34315"/>
    <n v="16347"/>
    <n v="14628"/>
    <n v="2585"/>
    <n v="2754"/>
    <n v="14598"/>
    <n v="2580"/>
    <n v="0"/>
    <n v="16103"/>
    <n v="830"/>
    <m/>
    <n v="0"/>
    <m/>
    <n v="0"/>
    <n v="0"/>
    <m/>
    <m/>
    <n v="0"/>
    <m/>
    <m/>
    <m/>
    <m/>
    <m/>
    <m/>
    <m/>
    <m/>
    <m/>
  </r>
  <r>
    <x v="15"/>
    <s v="Glenville State College "/>
    <m/>
    <n v="237385"/>
    <x v="5"/>
    <n v="37051"/>
    <n v="34874"/>
    <n v="27471"/>
    <n v="24503"/>
    <n v="3941"/>
    <n v="4681"/>
    <n v="5639"/>
    <n v="0"/>
    <n v="0"/>
    <n v="5690"/>
    <m/>
    <m/>
    <n v="0"/>
    <m/>
    <n v="0"/>
    <n v="0"/>
    <m/>
    <m/>
    <m/>
    <m/>
    <m/>
    <m/>
    <m/>
    <m/>
    <m/>
    <m/>
    <m/>
    <m/>
  </r>
  <r>
    <x v="15"/>
    <s v="West Virginia State University "/>
    <s v="Met the criteria for Four-Year 5 in 2018-19."/>
    <n v="237899"/>
    <x v="5"/>
    <n v="68222"/>
    <n v="68814"/>
    <n v="39002"/>
    <n v="34848"/>
    <n v="12479"/>
    <n v="14500"/>
    <n v="16741"/>
    <n v="0"/>
    <n v="0"/>
    <n v="19466"/>
    <m/>
    <m/>
    <n v="0"/>
    <m/>
    <n v="1887"/>
    <n v="2304"/>
    <n v="1293"/>
    <n v="1635"/>
    <n v="87"/>
    <n v="3"/>
    <n v="507"/>
    <m/>
    <m/>
    <n v="666"/>
    <m/>
    <m/>
    <m/>
    <m/>
  </r>
  <r>
    <x v="15"/>
    <s v="West Virginia University Institute of Technology"/>
    <m/>
    <n v="237950"/>
    <x v="5"/>
    <n v="35706"/>
    <n v="39491"/>
    <n v="29862"/>
    <n v="31605"/>
    <n v="66"/>
    <n v="132"/>
    <n v="5775"/>
    <n v="0"/>
    <n v="3"/>
    <n v="7754"/>
    <m/>
    <m/>
    <n v="0"/>
    <m/>
    <n v="0"/>
    <n v="0"/>
    <m/>
    <m/>
    <m/>
    <m/>
    <m/>
    <m/>
    <m/>
    <m/>
    <m/>
    <m/>
    <m/>
    <m/>
  </r>
  <r>
    <x v="15"/>
    <s v="Potomac State College of West Virginia University"/>
    <m/>
    <n v="237701"/>
    <x v="13"/>
    <n v="34687"/>
    <n v="33294"/>
    <n v="29684"/>
    <n v="27656"/>
    <n v="1614"/>
    <n v="1878"/>
    <n v="3385"/>
    <n v="0"/>
    <n v="4"/>
    <n v="3758"/>
    <m/>
    <n v="2"/>
    <n v="0"/>
    <m/>
    <n v="0"/>
    <n v="0"/>
    <m/>
    <m/>
    <m/>
    <m/>
    <m/>
    <m/>
    <m/>
    <m/>
    <m/>
    <m/>
    <m/>
    <m/>
  </r>
  <r>
    <x v="15"/>
    <s v="West Virginia University at Parkersburg"/>
    <m/>
    <n v="237686"/>
    <x v="13"/>
    <n v="56441"/>
    <n v="53842"/>
    <n v="32475"/>
    <n v="25873"/>
    <n v="4321"/>
    <n v="4021"/>
    <n v="17072"/>
    <n v="0"/>
    <n v="2573"/>
    <n v="23948"/>
    <m/>
    <m/>
    <n v="0"/>
    <m/>
    <n v="0"/>
    <n v="0"/>
    <m/>
    <m/>
    <m/>
    <m/>
    <m/>
    <m/>
    <m/>
    <m/>
    <m/>
    <m/>
    <m/>
    <m/>
  </r>
  <r>
    <x v="15"/>
    <s v="Blue Ridge Community &amp; Technical College"/>
    <s v="Met the criteria for Two-Year 2 in  2017-18 and 2018-19. "/>
    <n v="446774"/>
    <x v="8"/>
    <n v="60277"/>
    <n v="65524"/>
    <n v="34659"/>
    <n v="40714"/>
    <n v="9572"/>
    <n v="9418"/>
    <n v="16046"/>
    <n v="0"/>
    <n v="0"/>
    <n v="15392"/>
    <m/>
    <m/>
    <n v="0"/>
    <m/>
    <n v="0"/>
    <n v="0"/>
    <m/>
    <m/>
    <m/>
    <m/>
    <m/>
    <m/>
    <m/>
    <m/>
    <m/>
    <m/>
    <m/>
    <m/>
  </r>
  <r>
    <x v="15"/>
    <s v="BridgeValley Community &amp; Technical College"/>
    <s v="New"/>
    <n v="484932"/>
    <x v="8"/>
    <n v="40352"/>
    <n v="38379"/>
    <n v="32122"/>
    <n v="30012"/>
    <n v="139"/>
    <n v="102"/>
    <n v="8091"/>
    <n v="0"/>
    <n v="0"/>
    <n v="8265"/>
    <m/>
    <m/>
    <n v="0"/>
    <m/>
    <n v="0"/>
    <n v="0"/>
    <m/>
    <m/>
    <m/>
    <m/>
    <m/>
    <m/>
    <m/>
    <m/>
    <m/>
    <m/>
    <m/>
    <m/>
  </r>
  <r>
    <x v="15"/>
    <s v="Eastern West Virginia Community &amp; Technical College"/>
    <m/>
    <n v="438708"/>
    <x v="8"/>
    <n v="8910"/>
    <n v="7858"/>
    <n v="4018"/>
    <n v="3611"/>
    <n v="2249"/>
    <n v="1733"/>
    <n v="2643"/>
    <n v="0"/>
    <n v="0"/>
    <n v="2514"/>
    <m/>
    <m/>
    <n v="0"/>
    <m/>
    <n v="0"/>
    <n v="0"/>
    <m/>
    <m/>
    <m/>
    <m/>
    <m/>
    <m/>
    <m/>
    <m/>
    <m/>
    <m/>
    <m/>
    <m/>
  </r>
  <r>
    <x v="15"/>
    <s v="Mountwest Community &amp; Technical College"/>
    <m/>
    <n v="444954"/>
    <x v="8"/>
    <n v="41265"/>
    <n v="40378"/>
    <n v="24300"/>
    <n v="23110"/>
    <n v="5597"/>
    <n v="5174"/>
    <n v="11368"/>
    <n v="0"/>
    <n v="0"/>
    <n v="12094"/>
    <m/>
    <m/>
    <n v="0"/>
    <m/>
    <n v="0"/>
    <n v="0"/>
    <m/>
    <m/>
    <m/>
    <m/>
    <m/>
    <m/>
    <m/>
    <m/>
    <m/>
    <m/>
    <m/>
    <m/>
  </r>
  <r>
    <x v="15"/>
    <s v="New River Community &amp; Technical College"/>
    <m/>
    <n v="447582"/>
    <x v="8"/>
    <n v="30304"/>
    <n v="26362"/>
    <n v="20210"/>
    <n v="17400"/>
    <n v="0"/>
    <n v="0"/>
    <n v="10094"/>
    <n v="0"/>
    <n v="0"/>
    <n v="8962"/>
    <m/>
    <m/>
    <n v="0"/>
    <m/>
    <n v="0"/>
    <n v="0"/>
    <m/>
    <m/>
    <m/>
    <m/>
    <m/>
    <m/>
    <m/>
    <m/>
    <m/>
    <m/>
    <m/>
    <m/>
  </r>
  <r>
    <x v="15"/>
    <s v="Pierpont Community &amp; Technical College"/>
    <m/>
    <n v="443492"/>
    <x v="8"/>
    <n v="38532"/>
    <n v="37538"/>
    <n v="15415"/>
    <n v="12219"/>
    <n v="18751"/>
    <n v="18607"/>
    <n v="4366"/>
    <n v="0"/>
    <n v="0"/>
    <n v="6712"/>
    <m/>
    <m/>
    <n v="0"/>
    <m/>
    <n v="0"/>
    <n v="0"/>
    <m/>
    <m/>
    <m/>
    <m/>
    <m/>
    <m/>
    <m/>
    <m/>
    <m/>
    <m/>
    <m/>
    <m/>
  </r>
  <r>
    <x v="15"/>
    <s v="Southern West Virginia Community &amp; Technical College "/>
    <m/>
    <n v="237817"/>
    <x v="8"/>
    <n v="37265"/>
    <n v="34276"/>
    <n v="20132"/>
    <n v="15902"/>
    <n v="1167"/>
    <n v="1031"/>
    <n v="12714"/>
    <n v="3252"/>
    <n v="0"/>
    <n v="14904"/>
    <n v="2439"/>
    <m/>
    <n v="0"/>
    <m/>
    <n v="0"/>
    <n v="0"/>
    <m/>
    <m/>
    <m/>
    <m/>
    <m/>
    <m/>
    <m/>
    <m/>
    <m/>
    <m/>
    <m/>
    <m/>
  </r>
  <r>
    <x v="15"/>
    <s v="West Virginia Northern Community College"/>
    <m/>
    <n v="238014"/>
    <x v="8"/>
    <n v="35866"/>
    <n v="32146"/>
    <n v="22974"/>
    <n v="16238"/>
    <n v="0"/>
    <n v="0"/>
    <n v="10725"/>
    <n v="2167"/>
    <n v="0"/>
    <n v="13926"/>
    <n v="1982"/>
    <m/>
    <n v="0"/>
    <m/>
    <n v="0"/>
    <n v="0"/>
    <m/>
    <m/>
    <m/>
    <m/>
    <m/>
    <m/>
    <m/>
    <m/>
    <m/>
    <m/>
    <m/>
    <m/>
  </r>
  <r>
    <x v="15"/>
    <s v="Academy of Careers and Technology (Raleigh County)"/>
    <m/>
    <n v="237729"/>
    <x v="14"/>
    <n v="0"/>
    <n v="0"/>
    <m/>
    <m/>
    <m/>
    <m/>
    <m/>
    <m/>
    <m/>
    <m/>
    <m/>
    <m/>
    <m/>
    <m/>
    <n v="0"/>
    <n v="0"/>
    <m/>
    <m/>
    <m/>
    <m/>
    <m/>
    <m/>
    <m/>
    <m/>
    <m/>
    <m/>
    <m/>
    <m/>
  </r>
  <r>
    <x v="15"/>
    <s v="Ben Franklin Career Center"/>
    <m/>
    <n v="237172"/>
    <x v="14"/>
    <n v="0"/>
    <n v="0"/>
    <m/>
    <m/>
    <m/>
    <m/>
    <m/>
    <m/>
    <m/>
    <m/>
    <m/>
    <m/>
    <m/>
    <m/>
    <n v="0"/>
    <n v="0"/>
    <m/>
    <m/>
    <m/>
    <m/>
    <m/>
    <m/>
    <m/>
    <m/>
    <m/>
    <m/>
    <m/>
    <m/>
  </r>
  <r>
    <x v="15"/>
    <s v="Boone County Career &amp; Technical Center "/>
    <m/>
    <n v="237224"/>
    <x v="14"/>
    <n v="0"/>
    <n v="0"/>
    <m/>
    <m/>
    <m/>
    <m/>
    <m/>
    <m/>
    <m/>
    <m/>
    <m/>
    <m/>
    <m/>
    <m/>
    <n v="0"/>
    <n v="0"/>
    <m/>
    <m/>
    <m/>
    <m/>
    <m/>
    <m/>
    <m/>
    <m/>
    <m/>
    <m/>
    <m/>
    <m/>
  </r>
  <r>
    <x v="15"/>
    <s v="Cabell County Career Technology Center"/>
    <m/>
    <n v="237242"/>
    <x v="14"/>
    <n v="0"/>
    <n v="0"/>
    <m/>
    <m/>
    <m/>
    <m/>
    <m/>
    <m/>
    <m/>
    <m/>
    <m/>
    <m/>
    <m/>
    <m/>
    <n v="0"/>
    <n v="0"/>
    <m/>
    <m/>
    <m/>
    <m/>
    <m/>
    <m/>
    <m/>
    <m/>
    <m/>
    <m/>
    <m/>
    <m/>
  </r>
  <r>
    <x v="15"/>
    <s v="Carver Career Center "/>
    <m/>
    <n v="430795"/>
    <x v="14"/>
    <n v="0"/>
    <n v="0"/>
    <m/>
    <m/>
    <m/>
    <m/>
    <m/>
    <m/>
    <m/>
    <m/>
    <m/>
    <m/>
    <m/>
    <m/>
    <n v="0"/>
    <n v="0"/>
    <m/>
    <m/>
    <m/>
    <m/>
    <m/>
    <m/>
    <m/>
    <m/>
    <m/>
    <m/>
    <m/>
    <m/>
  </r>
  <r>
    <x v="15"/>
    <s v="Fayette Institute of Technology"/>
    <m/>
    <n v="413176"/>
    <x v="14"/>
    <n v="0"/>
    <n v="0"/>
    <m/>
    <m/>
    <m/>
    <m/>
    <m/>
    <m/>
    <m/>
    <m/>
    <m/>
    <m/>
    <m/>
    <m/>
    <n v="0"/>
    <n v="0"/>
    <m/>
    <m/>
    <m/>
    <m/>
    <m/>
    <m/>
    <m/>
    <m/>
    <m/>
    <m/>
    <m/>
    <m/>
  </r>
  <r>
    <x v="15"/>
    <s v="Fred W. Eberle Technical Center "/>
    <m/>
    <n v="237844"/>
    <x v="14"/>
    <n v="0"/>
    <n v="0"/>
    <m/>
    <m/>
    <m/>
    <m/>
    <m/>
    <m/>
    <m/>
    <m/>
    <m/>
    <m/>
    <m/>
    <m/>
    <n v="0"/>
    <n v="0"/>
    <m/>
    <m/>
    <m/>
    <m/>
    <m/>
    <m/>
    <m/>
    <m/>
    <m/>
    <m/>
    <m/>
    <m/>
  </r>
  <r>
    <x v="15"/>
    <s v="Garnet Career Center "/>
    <m/>
    <n v="431169"/>
    <x v="14"/>
    <n v="0"/>
    <n v="0"/>
    <m/>
    <m/>
    <m/>
    <m/>
    <m/>
    <m/>
    <m/>
    <m/>
    <m/>
    <m/>
    <m/>
    <m/>
    <n v="0"/>
    <n v="0"/>
    <m/>
    <m/>
    <m/>
    <m/>
    <m/>
    <m/>
    <m/>
    <m/>
    <m/>
    <m/>
    <m/>
    <m/>
  </r>
  <r>
    <x v="15"/>
    <s v="James Rumsey Technical Institute"/>
    <m/>
    <n v="237473"/>
    <x v="14"/>
    <n v="0"/>
    <n v="0"/>
    <m/>
    <m/>
    <m/>
    <m/>
    <m/>
    <m/>
    <m/>
    <m/>
    <m/>
    <m/>
    <m/>
    <m/>
    <n v="0"/>
    <n v="0"/>
    <m/>
    <m/>
    <m/>
    <m/>
    <m/>
    <m/>
    <m/>
    <m/>
    <m/>
    <m/>
    <m/>
    <m/>
  </r>
  <r>
    <x v="15"/>
    <s v="John D. Rockefeller IV Career Center"/>
    <m/>
    <n v="446349"/>
    <x v="14"/>
    <n v="0"/>
    <n v="0"/>
    <m/>
    <m/>
    <m/>
    <m/>
    <m/>
    <m/>
    <m/>
    <m/>
    <m/>
    <m/>
    <m/>
    <m/>
    <n v="0"/>
    <n v="0"/>
    <m/>
    <m/>
    <m/>
    <m/>
    <m/>
    <m/>
    <m/>
    <m/>
    <m/>
    <m/>
    <m/>
    <m/>
  </r>
  <r>
    <x v="15"/>
    <s v="Marion County Vocational-Technical Center"/>
    <m/>
    <n v="237516"/>
    <x v="14"/>
    <n v="0"/>
    <n v="0"/>
    <m/>
    <m/>
    <m/>
    <m/>
    <m/>
    <m/>
    <m/>
    <m/>
    <m/>
    <m/>
    <m/>
    <m/>
    <n v="0"/>
    <n v="0"/>
    <m/>
    <m/>
    <m/>
    <m/>
    <m/>
    <m/>
    <m/>
    <m/>
    <m/>
    <m/>
    <m/>
    <m/>
  </r>
  <r>
    <x v="15"/>
    <s v="McDowell County Vocational-Technical Center "/>
    <m/>
    <n v="237534"/>
    <x v="14"/>
    <n v="0"/>
    <n v="0"/>
    <m/>
    <m/>
    <m/>
    <m/>
    <m/>
    <m/>
    <m/>
    <m/>
    <m/>
    <m/>
    <m/>
    <m/>
    <n v="0"/>
    <n v="0"/>
    <m/>
    <m/>
    <m/>
    <m/>
    <m/>
    <m/>
    <m/>
    <m/>
    <m/>
    <m/>
    <m/>
    <m/>
  </r>
  <r>
    <x v="15"/>
    <s v="Mercer County Technical Education Center"/>
    <m/>
    <n v="237543"/>
    <x v="14"/>
    <n v="0"/>
    <n v="0"/>
    <m/>
    <m/>
    <m/>
    <m/>
    <m/>
    <m/>
    <m/>
    <m/>
    <m/>
    <m/>
    <m/>
    <m/>
    <n v="0"/>
    <n v="0"/>
    <m/>
    <m/>
    <m/>
    <m/>
    <m/>
    <m/>
    <m/>
    <m/>
    <m/>
    <m/>
    <m/>
    <m/>
  </r>
  <r>
    <x v="15"/>
    <s v="Mineral County Vocational-Technical Center "/>
    <m/>
    <n v="368647"/>
    <x v="14"/>
    <n v="0"/>
    <n v="0"/>
    <m/>
    <m/>
    <m/>
    <m/>
    <m/>
    <m/>
    <m/>
    <m/>
    <m/>
    <m/>
    <m/>
    <m/>
    <n v="0"/>
    <n v="0"/>
    <m/>
    <m/>
    <m/>
    <m/>
    <m/>
    <m/>
    <m/>
    <m/>
    <m/>
    <m/>
    <m/>
    <m/>
  </r>
  <r>
    <x v="15"/>
    <s v="Monongalia County Technical Education Center "/>
    <m/>
    <n v="237561"/>
    <x v="14"/>
    <n v="0"/>
    <n v="0"/>
    <m/>
    <m/>
    <m/>
    <m/>
    <m/>
    <m/>
    <m/>
    <m/>
    <m/>
    <m/>
    <m/>
    <m/>
    <n v="0"/>
    <n v="0"/>
    <m/>
    <m/>
    <m/>
    <m/>
    <m/>
    <m/>
    <m/>
    <m/>
    <m/>
    <m/>
    <m/>
    <m/>
  </r>
  <r>
    <x v="15"/>
    <s v="Putnam Career and Technical Center"/>
    <m/>
    <n v="419420"/>
    <x v="14"/>
    <n v="0"/>
    <n v="0"/>
    <m/>
    <m/>
    <m/>
    <m/>
    <m/>
    <m/>
    <m/>
    <m/>
    <m/>
    <m/>
    <m/>
    <m/>
    <n v="0"/>
    <n v="0"/>
    <m/>
    <m/>
    <m/>
    <m/>
    <m/>
    <m/>
    <m/>
    <m/>
    <m/>
    <m/>
    <m/>
    <m/>
  </r>
  <r>
    <x v="15"/>
    <s v="Ralph R. Willis Career and Technical Center"/>
    <m/>
    <n v="237491"/>
    <x v="14"/>
    <n v="0"/>
    <n v="0"/>
    <m/>
    <m/>
    <m/>
    <m/>
    <m/>
    <m/>
    <m/>
    <m/>
    <m/>
    <m/>
    <m/>
    <m/>
    <n v="0"/>
    <n v="0"/>
    <m/>
    <m/>
    <m/>
    <m/>
    <m/>
    <m/>
    <m/>
    <m/>
    <m/>
    <m/>
    <m/>
    <m/>
  </r>
  <r>
    <x v="15"/>
    <s v="Roane-Jackson Technical Center"/>
    <m/>
    <n v="364575"/>
    <x v="14"/>
    <n v="0"/>
    <n v="0"/>
    <m/>
    <m/>
    <m/>
    <m/>
    <m/>
    <m/>
    <m/>
    <m/>
    <m/>
    <m/>
    <m/>
    <m/>
    <n v="0"/>
    <n v="0"/>
    <m/>
    <m/>
    <m/>
    <m/>
    <m/>
    <m/>
    <m/>
    <m/>
    <m/>
    <m/>
    <m/>
    <m/>
  </r>
  <r>
    <x v="15"/>
    <s v="South Branch Career &amp; Technical Center"/>
    <m/>
    <n v="441894"/>
    <x v="14"/>
    <n v="0"/>
    <n v="0"/>
    <m/>
    <m/>
    <m/>
    <m/>
    <m/>
    <m/>
    <m/>
    <m/>
    <m/>
    <m/>
    <m/>
    <m/>
    <n v="0"/>
    <n v="0"/>
    <m/>
    <m/>
    <m/>
    <m/>
    <m/>
    <m/>
    <m/>
    <m/>
    <m/>
    <m/>
    <m/>
    <m/>
  </r>
  <r>
    <x v="15"/>
    <s v="United Technical Center"/>
    <m/>
    <n v="419031"/>
    <x v="14"/>
    <n v="0"/>
    <n v="0"/>
    <m/>
    <m/>
    <m/>
    <m/>
    <m/>
    <m/>
    <m/>
    <m/>
    <m/>
    <m/>
    <m/>
    <m/>
    <n v="0"/>
    <n v="0"/>
    <m/>
    <m/>
    <m/>
    <m/>
    <m/>
    <m/>
    <m/>
    <m/>
    <m/>
    <m/>
    <m/>
    <m/>
  </r>
  <r>
    <x v="15"/>
    <s v="Wyoming County "/>
    <m/>
    <s v="N/A"/>
    <x v="14"/>
    <n v="0"/>
    <n v="0"/>
    <m/>
    <m/>
    <m/>
    <m/>
    <m/>
    <m/>
    <m/>
    <m/>
    <m/>
    <m/>
    <m/>
    <m/>
    <n v="0"/>
    <n v="0"/>
    <m/>
    <m/>
    <m/>
    <m/>
    <m/>
    <m/>
    <m/>
    <m/>
    <m/>
    <m/>
    <m/>
    <m/>
  </r>
  <r>
    <x v="15"/>
    <s v="Greenbrier Practical School of Nursing"/>
    <m/>
    <s v="N/A"/>
    <x v="11"/>
    <n v="0"/>
    <n v="0"/>
    <m/>
    <m/>
    <m/>
    <m/>
    <m/>
    <m/>
    <m/>
    <m/>
    <m/>
    <m/>
    <m/>
    <m/>
    <n v="0"/>
    <n v="0"/>
    <m/>
    <m/>
    <m/>
    <m/>
    <m/>
    <m/>
    <m/>
    <m/>
    <m/>
    <m/>
    <m/>
    <m/>
  </r>
  <r>
    <x v="15"/>
    <s v="Mingo Extended Learning Center"/>
    <m/>
    <n v="486202"/>
    <x v="11"/>
    <n v="0"/>
    <n v="0"/>
    <m/>
    <m/>
    <m/>
    <m/>
    <m/>
    <m/>
    <m/>
    <m/>
    <m/>
    <m/>
    <m/>
    <m/>
    <n v="0"/>
    <n v="0"/>
    <m/>
    <m/>
    <m/>
    <m/>
    <m/>
    <m/>
    <m/>
    <m/>
    <m/>
    <m/>
    <m/>
    <m/>
  </r>
  <r>
    <x v="15"/>
    <s v="Randolph Technical Center"/>
    <m/>
    <n v="486406"/>
    <x v="11"/>
    <n v="0"/>
    <n v="0"/>
    <m/>
    <m/>
    <m/>
    <m/>
    <m/>
    <m/>
    <m/>
    <m/>
    <m/>
    <m/>
    <m/>
    <m/>
    <n v="0"/>
    <n v="0"/>
    <m/>
    <m/>
    <m/>
    <m/>
    <m/>
    <m/>
    <m/>
    <m/>
    <m/>
    <m/>
    <m/>
    <m/>
  </r>
  <r>
    <x v="15"/>
    <s v="Summers County School of Nursing"/>
    <m/>
    <s v="N/A"/>
    <x v="11"/>
    <n v="0"/>
    <n v="0"/>
    <m/>
    <m/>
    <m/>
    <m/>
    <m/>
    <m/>
    <m/>
    <m/>
    <m/>
    <m/>
    <m/>
    <m/>
    <n v="0"/>
    <n v="0"/>
    <m/>
    <m/>
    <m/>
    <m/>
    <m/>
    <m/>
    <m/>
    <m/>
    <m/>
    <m/>
    <m/>
    <m/>
  </r>
  <r>
    <x v="15"/>
    <s v="Wood County School of Practical Nursing"/>
    <m/>
    <n v="238096"/>
    <x v="11"/>
    <n v="0"/>
    <n v="0"/>
    <m/>
    <m/>
    <m/>
    <m/>
    <m/>
    <m/>
    <m/>
    <m/>
    <m/>
    <m/>
    <m/>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565583-B8B4-4D8D-8162-9B0051C397FD}" name="PivotTable1" cacheId="23"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U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8">
        <item x="0"/>
        <item x="1"/>
        <item x="2"/>
        <item x="3"/>
        <item x="4"/>
        <item x="5"/>
        <item x="11"/>
        <item x="13"/>
        <item x="6"/>
        <item x="7"/>
        <item x="8"/>
        <item x="9"/>
        <item x="10"/>
        <item h="1" m="1" x="16"/>
        <item h="1" x="14"/>
        <item h="1" m="1" x="15"/>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8">
        <item n="Four-Year +" x="3"/>
        <item n="Two-Year" x="4"/>
        <item n="Technical" x="5"/>
        <item h="1" x="2"/>
        <item h="1" x="1"/>
        <item h="1" x="0"/>
        <item x="6"/>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70"/>
    <field x="4"/>
  </colFields>
  <colItems count="19">
    <i>
      <x/>
      <x/>
    </i>
    <i r="1">
      <x v="1"/>
    </i>
    <i r="1">
      <x v="2"/>
    </i>
    <i r="1">
      <x v="3"/>
    </i>
    <i r="1">
      <x v="4"/>
    </i>
    <i r="1">
      <x v="5"/>
    </i>
    <i r="1">
      <x v="6"/>
    </i>
    <i t="default">
      <x/>
    </i>
    <i>
      <x v="1"/>
      <x v="7"/>
    </i>
    <i r="1">
      <x v="8"/>
    </i>
    <i r="1">
      <x v="9"/>
    </i>
    <i r="1">
      <x v="10"/>
    </i>
    <i t="default">
      <x v="1"/>
    </i>
    <i>
      <x v="2"/>
      <x v="11"/>
    </i>
    <i r="1">
      <x v="12"/>
    </i>
    <i t="default">
      <x v="2"/>
    </i>
    <i>
      <x v="6"/>
      <x v="16"/>
    </i>
    <i t="default">
      <x v="6"/>
    </i>
    <i t="grand">
      <x/>
    </i>
  </colItems>
  <dataFields count="36">
    <dataField name=" Old %UG OnC Trad" fld="69" baseField="0" baseItem="0"/>
    <dataField name=" New %UG OnC Trad" fld="68" baseField="0" baseItem="0"/>
    <dataField name=" Change %UG OnC Trad" fld="51" baseField="0" baseItem="0"/>
    <dataField name=" Old %UG OffC Trad" fld="73" baseField="0" baseItem="0"/>
    <dataField name=" New %UG OffC Trad" fld="67" baseField="0" baseItem="0"/>
    <dataField name=" Change %UG OffC Trad" fld="54" baseField="0" baseItem="5"/>
    <dataField name=" Old %UG EL Web" fld="35" baseField="0" baseItem="0"/>
    <dataField name=" New %UG EL Web" fld="36" baseField="0" baseItem="0"/>
    <dataField name=" Change %UG EL Web" fld="55" baseField="0" baseItem="0"/>
    <dataField name=" Old %UG EL CV" fld="42" baseField="0" baseItem="0"/>
    <dataField name=" New %UG EL CV" fld="41" baseField="0" baseItem="0"/>
    <dataField name=" Change %UG EL CV" fld="58" baseField="0" baseItem="0"/>
    <dataField name=" Old %UG EL O" fld="43" baseField="0" baseItem="0"/>
    <dataField name=" New %UG EL O" fld="44" baseField="0" baseItem="0"/>
    <dataField name=" Change %UG EL O" fld="59" baseField="0" baseItem="0"/>
    <dataField name=" Old %UG Cor" fld="50" baseField="0" baseItem="0"/>
    <dataField name=" New %UG Cor" fld="49" baseField="0" baseItem="0"/>
    <dataField name=" Change %UG Cor" fld="62" baseField="0" baseItem="0"/>
    <dataField name=" Old %G OnC Trad" fld="71" baseField="0" baseItem="0"/>
    <dataField name=" New %G OnC Trad" fld="33" baseField="0" baseItem="0"/>
    <dataField name=" Change %G OnC Trad" fld="52" baseField="0" baseItem="0"/>
    <dataField name=" Old %G OffC Trad" fld="72" baseField="0" baseItem="0"/>
    <dataField name=" New %G OffC Trad" fld="34" baseField="0" baseItem="0"/>
    <dataField name=" Change %G OffC Trad" fld="53" baseField="0" baseItem="0"/>
    <dataField name=" Old %G EL Web" fld="38" baseField="0" baseItem="0"/>
    <dataField name=" New %G EL Web" fld="37" baseField="0" baseItem="0"/>
    <dataField name=" Change %G EL Web" fld="56" baseField="0" baseItem="0"/>
    <dataField name=" Old %G EL CV" fld="39" baseField="0" baseItem="0"/>
    <dataField name=" New %G EL CV" fld="40" baseField="0" baseItem="0"/>
    <dataField name=" Change %G EL CV" fld="57" baseField="0" baseItem="0"/>
    <dataField name=" Old %G EL O" fld="46" baseField="0" baseItem="0"/>
    <dataField name=" New %G EL O" fld="45" baseField="0" baseItem="0"/>
    <dataField name=" Change %G EL O" fld="60" baseField="0" baseItem="0"/>
    <dataField name=" Old %G Cor" fld="47" baseField="0" baseItem="0"/>
    <dataField name=" New %G Cor" fld="48" baseField="0" baseItem="0"/>
    <dataField name=" Change %G Cor" fld="61" baseField="0" baseItem="0"/>
  </dataFields>
  <formats count="3016">
    <format dxfId="4997">
      <pivotArea field="4" type="button" dataOnly="0" labelOnly="1" outline="0" axis="axisCol" fieldPosition="1"/>
    </format>
    <format dxfId="4996">
      <pivotArea type="topRight" dataOnly="0" labelOnly="1" outline="0" fieldPosition="0"/>
    </format>
    <format dxfId="4995">
      <pivotArea dataOnly="0" labelOnly="1" grandCol="1" outline="0" fieldPosition="0"/>
    </format>
    <format dxfId="4994">
      <pivotArea outline="0" fieldPosition="0"/>
    </format>
    <format dxfId="4993">
      <pivotArea dataOnly="0" labelOnly="1" outline="0" offset="IV256" fieldPosition="0">
        <references count="1">
          <reference field="0" count="1">
            <x v="9"/>
          </reference>
        </references>
      </pivotArea>
    </format>
    <format dxfId="4992">
      <pivotArea dataOnly="0" labelOnly="1" outline="0" fieldPosition="0">
        <references count="1">
          <reference field="0" count="0"/>
        </references>
      </pivotArea>
    </format>
    <format dxfId="4991">
      <pivotArea type="origin" dataOnly="0" labelOnly="1" outline="0" fieldPosition="0"/>
    </format>
    <format dxfId="4990">
      <pivotArea field="0" type="button" dataOnly="0" labelOnly="1" outline="0" axis="axisRow" fieldPosition="0"/>
    </format>
    <format dxfId="4989">
      <pivotArea field="-2" type="button" dataOnly="0" labelOnly="1" outline="0" axis="axisRow" fieldPosition="1"/>
    </format>
    <format dxfId="4988">
      <pivotArea field="4" type="button" dataOnly="0" labelOnly="1" outline="0" axis="axisCol" fieldPosition="1"/>
    </format>
    <format dxfId="4987">
      <pivotArea type="topRight" dataOnly="0" labelOnly="1" outline="0" fieldPosition="0"/>
    </format>
    <format dxfId="4986">
      <pivotArea dataOnly="0" labelOnly="1" grandCol="1" outline="0" offset="IV256" fieldPosition="0"/>
    </format>
    <format dxfId="4985">
      <pivotArea field="0" grandRow="1" outline="0" axis="axisRow" fieldPosition="0">
        <references count="1">
          <reference field="4294967294" count="1" selected="0">
            <x v="35"/>
          </reference>
        </references>
      </pivotArea>
    </format>
    <format dxfId="4984">
      <pivotArea field="0" dataOnly="0" labelOnly="1" grandRow="1" outline="0" axis="axisRow" fieldPosition="0">
        <references count="1">
          <reference field="4294967294" count="1" selected="0">
            <x v="0"/>
          </reference>
        </references>
      </pivotArea>
    </format>
    <format dxfId="4983">
      <pivotArea field="0" dataOnly="0" labelOnly="1" grandRow="1" outline="0" axis="axisRow" fieldPosition="0">
        <references count="1">
          <reference field="4294967294" count="1" selected="0">
            <x v="1"/>
          </reference>
        </references>
      </pivotArea>
    </format>
    <format dxfId="4982">
      <pivotArea field="0" dataOnly="0" labelOnly="1" grandRow="1" outline="0" axis="axisRow" fieldPosition="0">
        <references count="1">
          <reference field="4294967294" count="1" selected="0">
            <x v="3"/>
          </reference>
        </references>
      </pivotArea>
    </format>
    <format dxfId="4981">
      <pivotArea field="0" dataOnly="0" labelOnly="1" grandRow="1" outline="0" axis="axisRow" fieldPosition="0">
        <references count="1">
          <reference field="4294967294" count="1" selected="0">
            <x v="4"/>
          </reference>
        </references>
      </pivotArea>
    </format>
    <format dxfId="4980">
      <pivotArea field="0" dataOnly="0" labelOnly="1" grandRow="1" outline="0" axis="axisRow" fieldPosition="0">
        <references count="1">
          <reference field="4294967294" count="1" selected="0">
            <x v="5"/>
          </reference>
        </references>
      </pivotArea>
    </format>
    <format dxfId="4979">
      <pivotArea field="0" dataOnly="0" labelOnly="1" grandRow="1" outline="0" axis="axisRow" fieldPosition="0">
        <references count="1">
          <reference field="4294967294" count="1" selected="0">
            <x v="6"/>
          </reference>
        </references>
      </pivotArea>
    </format>
    <format dxfId="4978">
      <pivotArea field="0" dataOnly="0" labelOnly="1" grandRow="1" outline="0" axis="axisRow" fieldPosition="0">
        <references count="1">
          <reference field="4294967294" count="1" selected="0">
            <x v="7"/>
          </reference>
        </references>
      </pivotArea>
    </format>
    <format dxfId="4977">
      <pivotArea field="0" dataOnly="0" labelOnly="1" grandRow="1" outline="0" axis="axisRow" fieldPosition="0">
        <references count="1">
          <reference field="4294967294" count="1" selected="0">
            <x v="8"/>
          </reference>
        </references>
      </pivotArea>
    </format>
    <format dxfId="4976">
      <pivotArea field="0" dataOnly="0" labelOnly="1" grandRow="1" outline="0" axis="axisRow" fieldPosition="0">
        <references count="1">
          <reference field="4294967294" count="1" selected="0">
            <x v="9"/>
          </reference>
        </references>
      </pivotArea>
    </format>
    <format dxfId="4975">
      <pivotArea field="0" dataOnly="0" labelOnly="1" grandRow="1" outline="0" axis="axisRow" fieldPosition="0">
        <references count="1">
          <reference field="4294967294" count="1" selected="0">
            <x v="10"/>
          </reference>
        </references>
      </pivotArea>
    </format>
    <format dxfId="4974">
      <pivotArea field="0" dataOnly="0" labelOnly="1" grandRow="1" outline="0" axis="axisRow" fieldPosition="0">
        <references count="1">
          <reference field="4294967294" count="1" selected="0">
            <x v="11"/>
          </reference>
        </references>
      </pivotArea>
    </format>
    <format dxfId="4973">
      <pivotArea field="0" dataOnly="0" labelOnly="1" grandRow="1" outline="0" axis="axisRow" fieldPosition="0">
        <references count="1">
          <reference field="4294967294" count="1" selected="0">
            <x v="12"/>
          </reference>
        </references>
      </pivotArea>
    </format>
    <format dxfId="4972">
      <pivotArea field="0" dataOnly="0" labelOnly="1" grandRow="1" outline="0" axis="axisRow" fieldPosition="0">
        <references count="1">
          <reference field="4294967294" count="1" selected="0">
            <x v="13"/>
          </reference>
        </references>
      </pivotArea>
    </format>
    <format dxfId="4971">
      <pivotArea field="0" dataOnly="0" labelOnly="1" grandRow="1" outline="0" axis="axisRow" fieldPosition="0">
        <references count="1">
          <reference field="4294967294" count="1" selected="0">
            <x v="14"/>
          </reference>
        </references>
      </pivotArea>
    </format>
    <format dxfId="4970">
      <pivotArea field="0" dataOnly="0" labelOnly="1" grandRow="1" outline="0" axis="axisRow" fieldPosition="0">
        <references count="1">
          <reference field="4294967294" count="1" selected="0">
            <x v="15"/>
          </reference>
        </references>
      </pivotArea>
    </format>
    <format dxfId="4969">
      <pivotArea field="0" dataOnly="0" labelOnly="1" grandRow="1" outline="0" axis="axisRow" fieldPosition="0">
        <references count="1">
          <reference field="4294967294" count="1" selected="0">
            <x v="16"/>
          </reference>
        </references>
      </pivotArea>
    </format>
    <format dxfId="4968">
      <pivotArea field="0" dataOnly="0" labelOnly="1" grandRow="1" outline="0" axis="axisRow" fieldPosition="0">
        <references count="1">
          <reference field="4294967294" count="1" selected="0">
            <x v="17"/>
          </reference>
        </references>
      </pivotArea>
    </format>
    <format dxfId="4967">
      <pivotArea field="0" dataOnly="0" labelOnly="1" grandRow="1" outline="0" axis="axisRow" fieldPosition="0">
        <references count="1">
          <reference field="4294967294" count="1" selected="0">
            <x v="18"/>
          </reference>
        </references>
      </pivotArea>
    </format>
    <format dxfId="4966">
      <pivotArea field="0" dataOnly="0" labelOnly="1" grandRow="1" outline="0" axis="axisRow" fieldPosition="0">
        <references count="1">
          <reference field="4294967294" count="1" selected="0">
            <x v="19"/>
          </reference>
        </references>
      </pivotArea>
    </format>
    <format dxfId="4965">
      <pivotArea field="0" dataOnly="0" labelOnly="1" grandRow="1" outline="0" axis="axisRow" fieldPosition="0">
        <references count="1">
          <reference field="4294967294" count="1" selected="0">
            <x v="20"/>
          </reference>
        </references>
      </pivotArea>
    </format>
    <format dxfId="4964">
      <pivotArea field="0" dataOnly="0" labelOnly="1" grandRow="1" outline="0" axis="axisRow" fieldPosition="0">
        <references count="1">
          <reference field="4294967294" count="1" selected="0">
            <x v="21"/>
          </reference>
        </references>
      </pivotArea>
    </format>
    <format dxfId="4963">
      <pivotArea field="0" dataOnly="0" labelOnly="1" grandRow="1" outline="0" axis="axisRow" fieldPosition="0">
        <references count="1">
          <reference field="4294967294" count="1" selected="0">
            <x v="22"/>
          </reference>
        </references>
      </pivotArea>
    </format>
    <format dxfId="4962">
      <pivotArea field="0" dataOnly="0" labelOnly="1" grandRow="1" outline="0" axis="axisRow" fieldPosition="0">
        <references count="1">
          <reference field="4294967294" count="1" selected="0">
            <x v="23"/>
          </reference>
        </references>
      </pivotArea>
    </format>
    <format dxfId="4961">
      <pivotArea field="0" dataOnly="0" labelOnly="1" grandRow="1" outline="0" axis="axisRow" fieldPosition="0">
        <references count="1">
          <reference field="4294967294" count="1" selected="0">
            <x v="24"/>
          </reference>
        </references>
      </pivotArea>
    </format>
    <format dxfId="4960">
      <pivotArea field="0" dataOnly="0" labelOnly="1" grandRow="1" outline="0" axis="axisRow" fieldPosition="0">
        <references count="1">
          <reference field="4294967294" count="1" selected="0">
            <x v="25"/>
          </reference>
        </references>
      </pivotArea>
    </format>
    <format dxfId="4959">
      <pivotArea field="0" dataOnly="0" labelOnly="1" grandRow="1" outline="0" axis="axisRow" fieldPosition="0">
        <references count="1">
          <reference field="4294967294" count="1" selected="0">
            <x v="26"/>
          </reference>
        </references>
      </pivotArea>
    </format>
    <format dxfId="4958">
      <pivotArea field="0" dataOnly="0" labelOnly="1" grandRow="1" outline="0" axis="axisRow" fieldPosition="0">
        <references count="1">
          <reference field="4294967294" count="1" selected="0">
            <x v="27"/>
          </reference>
        </references>
      </pivotArea>
    </format>
    <format dxfId="4957">
      <pivotArea field="0" dataOnly="0" labelOnly="1" grandRow="1" outline="0" axis="axisRow" fieldPosition="0">
        <references count="1">
          <reference field="4294967294" count="1" selected="0">
            <x v="28"/>
          </reference>
        </references>
      </pivotArea>
    </format>
    <format dxfId="4956">
      <pivotArea field="0" dataOnly="0" labelOnly="1" grandRow="1" outline="0" axis="axisRow" fieldPosition="0">
        <references count="1">
          <reference field="4294967294" count="1" selected="0">
            <x v="29"/>
          </reference>
        </references>
      </pivotArea>
    </format>
    <format dxfId="4955">
      <pivotArea field="0" dataOnly="0" labelOnly="1" grandRow="1" outline="0" axis="axisRow" fieldPosition="0">
        <references count="1">
          <reference field="4294967294" count="1" selected="0">
            <x v="30"/>
          </reference>
        </references>
      </pivotArea>
    </format>
    <format dxfId="4954">
      <pivotArea field="0" dataOnly="0" labelOnly="1" grandRow="1" outline="0" axis="axisRow" fieldPosition="0">
        <references count="1">
          <reference field="4294967294" count="1" selected="0">
            <x v="31"/>
          </reference>
        </references>
      </pivotArea>
    </format>
    <format dxfId="4953">
      <pivotArea field="0" dataOnly="0" labelOnly="1" grandRow="1" outline="0" axis="axisRow" fieldPosition="0">
        <references count="1">
          <reference field="4294967294" count="1" selected="0">
            <x v="32"/>
          </reference>
        </references>
      </pivotArea>
    </format>
    <format dxfId="4952">
      <pivotArea field="0" dataOnly="0" labelOnly="1" grandRow="1" outline="0" axis="axisRow" fieldPosition="0">
        <references count="1">
          <reference field="4294967294" count="1" selected="0">
            <x v="33"/>
          </reference>
        </references>
      </pivotArea>
    </format>
    <format dxfId="4951">
      <pivotArea field="0" dataOnly="0" labelOnly="1" grandRow="1" outline="0" axis="axisRow" fieldPosition="0">
        <references count="1">
          <reference field="4294967294" count="1" selected="0">
            <x v="34"/>
          </reference>
        </references>
      </pivotArea>
    </format>
    <format dxfId="4950">
      <pivotArea field="0" dataOnly="0" labelOnly="1" grandRow="1" outline="0" axis="axisRow" fieldPosition="0">
        <references count="1">
          <reference field="4294967294" count="1" selected="0">
            <x v="35"/>
          </reference>
        </references>
      </pivotArea>
    </format>
    <format dxfId="4949">
      <pivotArea field="0" grandRow="1" outline="0" axis="axisRow" fieldPosition="0">
        <references count="1">
          <reference field="4294967294" count="1" selected="0">
            <x v="5"/>
          </reference>
        </references>
      </pivotArea>
    </format>
    <format dxfId="4948">
      <pivotArea field="0" grandRow="1" outline="0" axis="axisRow" fieldPosition="0">
        <references count="1">
          <reference field="4294967294" count="1" selected="0">
            <x v="8"/>
          </reference>
        </references>
      </pivotArea>
    </format>
    <format dxfId="4947">
      <pivotArea field="0" grandRow="1" outline="0" axis="axisRow" fieldPosition="0">
        <references count="1">
          <reference field="4294967294" count="1" selected="0">
            <x v="11"/>
          </reference>
        </references>
      </pivotArea>
    </format>
    <format dxfId="4946">
      <pivotArea field="0" grandRow="1" outline="0" axis="axisRow" fieldPosition="0">
        <references count="1">
          <reference field="4294967294" count="1" selected="0">
            <x v="14"/>
          </reference>
        </references>
      </pivotArea>
    </format>
    <format dxfId="4945">
      <pivotArea field="0" grandRow="1" outline="0" axis="axisRow" fieldPosition="0">
        <references count="1">
          <reference field="4294967294" count="1" selected="0">
            <x v="17"/>
          </reference>
        </references>
      </pivotArea>
    </format>
    <format dxfId="4944">
      <pivotArea field="0" grandRow="1" outline="0" axis="axisRow" fieldPosition="0">
        <references count="1">
          <reference field="4294967294" count="1" selected="0">
            <x v="20"/>
          </reference>
        </references>
      </pivotArea>
    </format>
    <format dxfId="4943">
      <pivotArea field="0" grandRow="1" outline="0" axis="axisRow" fieldPosition="0">
        <references count="1">
          <reference field="4294967294" count="1" selected="0">
            <x v="23"/>
          </reference>
        </references>
      </pivotArea>
    </format>
    <format dxfId="4942">
      <pivotArea field="0" grandRow="1" outline="0" axis="axisRow" fieldPosition="0">
        <references count="1">
          <reference field="4294967294" count="1" selected="0">
            <x v="26"/>
          </reference>
        </references>
      </pivotArea>
    </format>
    <format dxfId="4941">
      <pivotArea field="0" grandRow="1" outline="0" axis="axisRow" fieldPosition="0">
        <references count="1">
          <reference field="4294967294" count="1" selected="0">
            <x v="29"/>
          </reference>
        </references>
      </pivotArea>
    </format>
    <format dxfId="4940">
      <pivotArea field="0" grandRow="1" outline="0" axis="axisRow" fieldPosition="0">
        <references count="1">
          <reference field="4294967294" count="1" selected="0">
            <x v="32"/>
          </reference>
        </references>
      </pivotArea>
    </format>
    <format dxfId="4939">
      <pivotArea field="0" grandRow="1" outline="0" axis="axisRow" fieldPosition="0">
        <references count="1">
          <reference field="4294967294" count="1" selected="0">
            <x v="35"/>
          </reference>
        </references>
      </pivotArea>
    </format>
    <format dxfId="4938">
      <pivotArea field="4" type="button" dataOnly="0" labelOnly="1" outline="0" axis="axisCol" fieldPosition="1"/>
    </format>
    <format dxfId="4937">
      <pivotArea type="topRight" dataOnly="0" labelOnly="1" outline="0" fieldPosition="0"/>
    </format>
    <format dxfId="4936">
      <pivotArea type="topRight" dataOnly="0" labelOnly="1" outline="0" offset="O1" fieldPosition="0"/>
    </format>
    <format dxfId="4935">
      <pivotArea type="origin" dataOnly="0" labelOnly="1" outline="0" offset="A2:B2" fieldPosition="0"/>
    </format>
    <format dxfId="4934">
      <pivotArea field="0" dataOnly="0" labelOnly="1" grandRow="1" outline="0" axis="axisRow" fieldPosition="0">
        <references count="1">
          <reference field="4294967294" count="1" selected="0">
            <x v="0"/>
          </reference>
        </references>
      </pivotArea>
    </format>
    <format dxfId="4933">
      <pivotArea field="0" dataOnly="0" labelOnly="1" grandRow="1" outline="0" axis="axisRow" fieldPosition="0">
        <references count="1">
          <reference field="4294967294" count="1" selected="0">
            <x v="1"/>
          </reference>
        </references>
      </pivotArea>
    </format>
    <format dxfId="4932">
      <pivotArea field="0" dataOnly="0" labelOnly="1" grandRow="1" outline="0" axis="axisRow" fieldPosition="0">
        <references count="1">
          <reference field="4294967294" count="1" selected="0">
            <x v="3"/>
          </reference>
        </references>
      </pivotArea>
    </format>
    <format dxfId="4931">
      <pivotArea field="0" dataOnly="0" labelOnly="1" grandRow="1" outline="0" axis="axisRow" fieldPosition="0">
        <references count="1">
          <reference field="4294967294" count="1" selected="0">
            <x v="4"/>
          </reference>
        </references>
      </pivotArea>
    </format>
    <format dxfId="4930">
      <pivotArea field="0" dataOnly="0" labelOnly="1" grandRow="1" outline="0" axis="axisRow" fieldPosition="0">
        <references count="1">
          <reference field="4294967294" count="1" selected="0">
            <x v="5"/>
          </reference>
        </references>
      </pivotArea>
    </format>
    <format dxfId="4929">
      <pivotArea field="0" dataOnly="0" labelOnly="1" grandRow="1" outline="0" axis="axisRow" fieldPosition="0">
        <references count="1">
          <reference field="4294967294" count="1" selected="0">
            <x v="6"/>
          </reference>
        </references>
      </pivotArea>
    </format>
    <format dxfId="4928">
      <pivotArea field="0" dataOnly="0" labelOnly="1" grandRow="1" outline="0" axis="axisRow" fieldPosition="0">
        <references count="1">
          <reference field="4294967294" count="1" selected="0">
            <x v="7"/>
          </reference>
        </references>
      </pivotArea>
    </format>
    <format dxfId="4927">
      <pivotArea field="0" dataOnly="0" labelOnly="1" grandRow="1" outline="0" axis="axisRow" fieldPosition="0">
        <references count="1">
          <reference field="4294967294" count="1" selected="0">
            <x v="8"/>
          </reference>
        </references>
      </pivotArea>
    </format>
    <format dxfId="4926">
      <pivotArea field="0" dataOnly="0" labelOnly="1" grandRow="1" outline="0" axis="axisRow" fieldPosition="0">
        <references count="1">
          <reference field="4294967294" count="1" selected="0">
            <x v="9"/>
          </reference>
        </references>
      </pivotArea>
    </format>
    <format dxfId="4925">
      <pivotArea field="0" dataOnly="0" labelOnly="1" grandRow="1" outline="0" axis="axisRow" fieldPosition="0">
        <references count="1">
          <reference field="4294967294" count="1" selected="0">
            <x v="10"/>
          </reference>
        </references>
      </pivotArea>
    </format>
    <format dxfId="4924">
      <pivotArea field="0" dataOnly="0" labelOnly="1" grandRow="1" outline="0" axis="axisRow" fieldPosition="0">
        <references count="1">
          <reference field="4294967294" count="1" selected="0">
            <x v="11"/>
          </reference>
        </references>
      </pivotArea>
    </format>
    <format dxfId="4923">
      <pivotArea field="0" dataOnly="0" labelOnly="1" grandRow="1" outline="0" axis="axisRow" fieldPosition="0">
        <references count="1">
          <reference field="4294967294" count="1" selected="0">
            <x v="12"/>
          </reference>
        </references>
      </pivotArea>
    </format>
    <format dxfId="4922">
      <pivotArea field="0" dataOnly="0" labelOnly="1" grandRow="1" outline="0" axis="axisRow" fieldPosition="0">
        <references count="1">
          <reference field="4294967294" count="1" selected="0">
            <x v="13"/>
          </reference>
        </references>
      </pivotArea>
    </format>
    <format dxfId="4921">
      <pivotArea field="0" dataOnly="0" labelOnly="1" grandRow="1" outline="0" axis="axisRow" fieldPosition="0">
        <references count="1">
          <reference field="4294967294" count="1" selected="0">
            <x v="14"/>
          </reference>
        </references>
      </pivotArea>
    </format>
    <format dxfId="4920">
      <pivotArea field="0" dataOnly="0" labelOnly="1" grandRow="1" outline="0" axis="axisRow" fieldPosition="0">
        <references count="1">
          <reference field="4294967294" count="1" selected="0">
            <x v="15"/>
          </reference>
        </references>
      </pivotArea>
    </format>
    <format dxfId="4919">
      <pivotArea field="0" dataOnly="0" labelOnly="1" grandRow="1" outline="0" axis="axisRow" fieldPosition="0">
        <references count="1">
          <reference field="4294967294" count="1" selected="0">
            <x v="16"/>
          </reference>
        </references>
      </pivotArea>
    </format>
    <format dxfId="4918">
      <pivotArea field="0" dataOnly="0" labelOnly="1" grandRow="1" outline="0" axis="axisRow" fieldPosition="0">
        <references count="1">
          <reference field="4294967294" count="1" selected="0">
            <x v="17"/>
          </reference>
        </references>
      </pivotArea>
    </format>
    <format dxfId="4917">
      <pivotArea field="0" dataOnly="0" labelOnly="1" grandRow="1" outline="0" axis="axisRow" fieldPosition="0">
        <references count="1">
          <reference field="4294967294" count="1" selected="0">
            <x v="18"/>
          </reference>
        </references>
      </pivotArea>
    </format>
    <format dxfId="4916">
      <pivotArea field="0" dataOnly="0" labelOnly="1" grandRow="1" outline="0" axis="axisRow" fieldPosition="0">
        <references count="1">
          <reference field="4294967294" count="1" selected="0">
            <x v="19"/>
          </reference>
        </references>
      </pivotArea>
    </format>
    <format dxfId="4915">
      <pivotArea field="0" dataOnly="0" labelOnly="1" grandRow="1" outline="0" axis="axisRow" fieldPosition="0">
        <references count="1">
          <reference field="4294967294" count="1" selected="0">
            <x v="20"/>
          </reference>
        </references>
      </pivotArea>
    </format>
    <format dxfId="4914">
      <pivotArea field="0" dataOnly="0" labelOnly="1" grandRow="1" outline="0" axis="axisRow" fieldPosition="0">
        <references count="1">
          <reference field="4294967294" count="1" selected="0">
            <x v="21"/>
          </reference>
        </references>
      </pivotArea>
    </format>
    <format dxfId="4913">
      <pivotArea field="0" dataOnly="0" labelOnly="1" grandRow="1" outline="0" axis="axisRow" fieldPosition="0">
        <references count="1">
          <reference field="4294967294" count="1" selected="0">
            <x v="22"/>
          </reference>
        </references>
      </pivotArea>
    </format>
    <format dxfId="4912">
      <pivotArea field="0" dataOnly="0" labelOnly="1" grandRow="1" outline="0" axis="axisRow" fieldPosition="0">
        <references count="1">
          <reference field="4294967294" count="1" selected="0">
            <x v="23"/>
          </reference>
        </references>
      </pivotArea>
    </format>
    <format dxfId="4911">
      <pivotArea field="0" dataOnly="0" labelOnly="1" grandRow="1" outline="0" axis="axisRow" fieldPosition="0">
        <references count="1">
          <reference field="4294967294" count="1" selected="0">
            <x v="24"/>
          </reference>
        </references>
      </pivotArea>
    </format>
    <format dxfId="4910">
      <pivotArea field="0" dataOnly="0" labelOnly="1" grandRow="1" outline="0" axis="axisRow" fieldPosition="0">
        <references count="1">
          <reference field="4294967294" count="1" selected="0">
            <x v="25"/>
          </reference>
        </references>
      </pivotArea>
    </format>
    <format dxfId="4909">
      <pivotArea field="0" dataOnly="0" labelOnly="1" grandRow="1" outline="0" axis="axisRow" fieldPosition="0">
        <references count="1">
          <reference field="4294967294" count="1" selected="0">
            <x v="26"/>
          </reference>
        </references>
      </pivotArea>
    </format>
    <format dxfId="4908">
      <pivotArea field="0" dataOnly="0" labelOnly="1" grandRow="1" outline="0" axis="axisRow" fieldPosition="0">
        <references count="1">
          <reference field="4294967294" count="1" selected="0">
            <x v="27"/>
          </reference>
        </references>
      </pivotArea>
    </format>
    <format dxfId="4907">
      <pivotArea field="0" dataOnly="0" labelOnly="1" grandRow="1" outline="0" axis="axisRow" fieldPosition="0">
        <references count="1">
          <reference field="4294967294" count="1" selected="0">
            <x v="28"/>
          </reference>
        </references>
      </pivotArea>
    </format>
    <format dxfId="4906">
      <pivotArea field="0" dataOnly="0" labelOnly="1" grandRow="1" outline="0" axis="axisRow" fieldPosition="0">
        <references count="1">
          <reference field="4294967294" count="1" selected="0">
            <x v="29"/>
          </reference>
        </references>
      </pivotArea>
    </format>
    <format dxfId="4905">
      <pivotArea field="0" dataOnly="0" labelOnly="1" grandRow="1" outline="0" axis="axisRow" fieldPosition="0">
        <references count="1">
          <reference field="4294967294" count="1" selected="0">
            <x v="30"/>
          </reference>
        </references>
      </pivotArea>
    </format>
    <format dxfId="4904">
      <pivotArea field="0" dataOnly="0" labelOnly="1" grandRow="1" outline="0" axis="axisRow" fieldPosition="0">
        <references count="1">
          <reference field="4294967294" count="1" selected="0">
            <x v="31"/>
          </reference>
        </references>
      </pivotArea>
    </format>
    <format dxfId="4903">
      <pivotArea field="0" dataOnly="0" labelOnly="1" grandRow="1" outline="0" axis="axisRow" fieldPosition="0">
        <references count="1">
          <reference field="4294967294" count="1" selected="0">
            <x v="32"/>
          </reference>
        </references>
      </pivotArea>
    </format>
    <format dxfId="4902">
      <pivotArea field="0" dataOnly="0" labelOnly="1" grandRow="1" outline="0" axis="axisRow" fieldPosition="0">
        <references count="1">
          <reference field="4294967294" count="1" selected="0">
            <x v="33"/>
          </reference>
        </references>
      </pivotArea>
    </format>
    <format dxfId="4901">
      <pivotArea field="0" dataOnly="0" labelOnly="1" grandRow="1" outline="0" axis="axisRow" fieldPosition="0">
        <references count="1">
          <reference field="4294967294" count="1" selected="0">
            <x v="34"/>
          </reference>
        </references>
      </pivotArea>
    </format>
    <format dxfId="4900">
      <pivotArea field="0" dataOnly="0" labelOnly="1" grandRow="1" outline="0" axis="axisRow" fieldPosition="0">
        <references count="1">
          <reference field="4294967294" count="1" selected="0">
            <x v="35"/>
          </reference>
        </references>
      </pivotArea>
    </format>
    <format dxfId="4899">
      <pivotArea field="0" grandRow="1" outline="0" axis="axisRow" fieldPosition="0">
        <references count="1">
          <reference field="4294967294" count="1" selected="0">
            <x v="35"/>
          </reference>
        </references>
      </pivotArea>
    </format>
    <format dxfId="4898">
      <pivotArea field="0" dataOnly="0" labelOnly="1" grandRow="1" outline="0" offset="IV256" axis="axisRow" fieldPosition="0">
        <references count="1">
          <reference field="4294967294" count="1" selected="0">
            <x v="0"/>
          </reference>
        </references>
      </pivotArea>
    </format>
    <format dxfId="4897">
      <pivotArea field="0" dataOnly="0" labelOnly="1" grandRow="1" outline="0" offset="IV256" axis="axisRow" fieldPosition="0">
        <references count="1">
          <reference field="4294967294" count="1" selected="0">
            <x v="1"/>
          </reference>
        </references>
      </pivotArea>
    </format>
    <format dxfId="4896">
      <pivotArea field="0" dataOnly="0" labelOnly="1" grandRow="1" outline="0" offset="IV256" axis="axisRow" fieldPosition="0">
        <references count="1">
          <reference field="4294967294" count="1" selected="0">
            <x v="3"/>
          </reference>
        </references>
      </pivotArea>
    </format>
    <format dxfId="4895">
      <pivotArea field="0" dataOnly="0" labelOnly="1" grandRow="1" outline="0" offset="IV256" axis="axisRow" fieldPosition="0">
        <references count="1">
          <reference field="4294967294" count="1" selected="0">
            <x v="4"/>
          </reference>
        </references>
      </pivotArea>
    </format>
    <format dxfId="4894">
      <pivotArea field="0" dataOnly="0" labelOnly="1" grandRow="1" outline="0" offset="IV256" axis="axisRow" fieldPosition="0">
        <references count="1">
          <reference field="4294967294" count="1" selected="0">
            <x v="5"/>
          </reference>
        </references>
      </pivotArea>
    </format>
    <format dxfId="4893">
      <pivotArea field="0" dataOnly="0" labelOnly="1" grandRow="1" outline="0" offset="IV256" axis="axisRow" fieldPosition="0">
        <references count="1">
          <reference field="4294967294" count="1" selected="0">
            <x v="6"/>
          </reference>
        </references>
      </pivotArea>
    </format>
    <format dxfId="4892">
      <pivotArea field="0" dataOnly="0" labelOnly="1" grandRow="1" outline="0" offset="IV256" axis="axisRow" fieldPosition="0">
        <references count="1">
          <reference field="4294967294" count="1" selected="0">
            <x v="7"/>
          </reference>
        </references>
      </pivotArea>
    </format>
    <format dxfId="4891">
      <pivotArea field="0" dataOnly="0" labelOnly="1" grandRow="1" outline="0" offset="IV256" axis="axisRow" fieldPosition="0">
        <references count="1">
          <reference field="4294967294" count="1" selected="0">
            <x v="8"/>
          </reference>
        </references>
      </pivotArea>
    </format>
    <format dxfId="4890">
      <pivotArea field="0" dataOnly="0" labelOnly="1" grandRow="1" outline="0" offset="IV256" axis="axisRow" fieldPosition="0">
        <references count="1">
          <reference field="4294967294" count="1" selected="0">
            <x v="9"/>
          </reference>
        </references>
      </pivotArea>
    </format>
    <format dxfId="4889">
      <pivotArea field="0" dataOnly="0" labelOnly="1" grandRow="1" outline="0" offset="IV256" axis="axisRow" fieldPosition="0">
        <references count="1">
          <reference field="4294967294" count="1" selected="0">
            <x v="10"/>
          </reference>
        </references>
      </pivotArea>
    </format>
    <format dxfId="4888">
      <pivotArea field="0" dataOnly="0" labelOnly="1" grandRow="1" outline="0" offset="IV256" axis="axisRow" fieldPosition="0">
        <references count="1">
          <reference field="4294967294" count="1" selected="0">
            <x v="11"/>
          </reference>
        </references>
      </pivotArea>
    </format>
    <format dxfId="4887">
      <pivotArea field="0" dataOnly="0" labelOnly="1" grandRow="1" outline="0" offset="IV256" axis="axisRow" fieldPosition="0">
        <references count="1">
          <reference field="4294967294" count="1" selected="0">
            <x v="12"/>
          </reference>
        </references>
      </pivotArea>
    </format>
    <format dxfId="4886">
      <pivotArea field="0" dataOnly="0" labelOnly="1" grandRow="1" outline="0" offset="IV256" axis="axisRow" fieldPosition="0">
        <references count="1">
          <reference field="4294967294" count="1" selected="0">
            <x v="13"/>
          </reference>
        </references>
      </pivotArea>
    </format>
    <format dxfId="4885">
      <pivotArea field="0" dataOnly="0" labelOnly="1" grandRow="1" outline="0" offset="IV256" axis="axisRow" fieldPosition="0">
        <references count="1">
          <reference field="4294967294" count="1" selected="0">
            <x v="14"/>
          </reference>
        </references>
      </pivotArea>
    </format>
    <format dxfId="4884">
      <pivotArea field="0" dataOnly="0" labelOnly="1" grandRow="1" outline="0" offset="IV256" axis="axisRow" fieldPosition="0">
        <references count="1">
          <reference field="4294967294" count="1" selected="0">
            <x v="15"/>
          </reference>
        </references>
      </pivotArea>
    </format>
    <format dxfId="4883">
      <pivotArea field="0" dataOnly="0" labelOnly="1" grandRow="1" outline="0" offset="IV256" axis="axisRow" fieldPosition="0">
        <references count="1">
          <reference field="4294967294" count="1" selected="0">
            <x v="16"/>
          </reference>
        </references>
      </pivotArea>
    </format>
    <format dxfId="4882">
      <pivotArea field="0" dataOnly="0" labelOnly="1" grandRow="1" outline="0" offset="IV256" axis="axisRow" fieldPosition="0">
        <references count="1">
          <reference field="4294967294" count="1" selected="0">
            <x v="17"/>
          </reference>
        </references>
      </pivotArea>
    </format>
    <format dxfId="4881">
      <pivotArea field="0" dataOnly="0" labelOnly="1" grandRow="1" outline="0" offset="IV256" axis="axisRow" fieldPosition="0">
        <references count="1">
          <reference field="4294967294" count="1" selected="0">
            <x v="18"/>
          </reference>
        </references>
      </pivotArea>
    </format>
    <format dxfId="4880">
      <pivotArea field="0" dataOnly="0" labelOnly="1" grandRow="1" outline="0" offset="IV256" axis="axisRow" fieldPosition="0">
        <references count="1">
          <reference field="4294967294" count="1" selected="0">
            <x v="19"/>
          </reference>
        </references>
      </pivotArea>
    </format>
    <format dxfId="4879">
      <pivotArea field="0" dataOnly="0" labelOnly="1" grandRow="1" outline="0" offset="IV256" axis="axisRow" fieldPosition="0">
        <references count="1">
          <reference field="4294967294" count="1" selected="0">
            <x v="20"/>
          </reference>
        </references>
      </pivotArea>
    </format>
    <format dxfId="4878">
      <pivotArea field="0" dataOnly="0" labelOnly="1" grandRow="1" outline="0" offset="IV256" axis="axisRow" fieldPosition="0">
        <references count="1">
          <reference field="4294967294" count="1" selected="0">
            <x v="21"/>
          </reference>
        </references>
      </pivotArea>
    </format>
    <format dxfId="4877">
      <pivotArea field="0" dataOnly="0" labelOnly="1" grandRow="1" outline="0" offset="IV256" axis="axisRow" fieldPosition="0">
        <references count="1">
          <reference field="4294967294" count="1" selected="0">
            <x v="22"/>
          </reference>
        </references>
      </pivotArea>
    </format>
    <format dxfId="4876">
      <pivotArea field="0" dataOnly="0" labelOnly="1" grandRow="1" outline="0" offset="IV256" axis="axisRow" fieldPosition="0">
        <references count="1">
          <reference field="4294967294" count="1" selected="0">
            <x v="23"/>
          </reference>
        </references>
      </pivotArea>
    </format>
    <format dxfId="4875">
      <pivotArea field="0" dataOnly="0" labelOnly="1" grandRow="1" outline="0" offset="IV256" axis="axisRow" fieldPosition="0">
        <references count="1">
          <reference field="4294967294" count="1" selected="0">
            <x v="24"/>
          </reference>
        </references>
      </pivotArea>
    </format>
    <format dxfId="4874">
      <pivotArea field="0" dataOnly="0" labelOnly="1" grandRow="1" outline="0" offset="IV256" axis="axisRow" fieldPosition="0">
        <references count="1">
          <reference field="4294967294" count="1" selected="0">
            <x v="25"/>
          </reference>
        </references>
      </pivotArea>
    </format>
    <format dxfId="4873">
      <pivotArea field="0" dataOnly="0" labelOnly="1" grandRow="1" outline="0" offset="IV256" axis="axisRow" fieldPosition="0">
        <references count="1">
          <reference field="4294967294" count="1" selected="0">
            <x v="26"/>
          </reference>
        </references>
      </pivotArea>
    </format>
    <format dxfId="4872">
      <pivotArea field="0" dataOnly="0" labelOnly="1" grandRow="1" outline="0" offset="IV256" axis="axisRow" fieldPosition="0">
        <references count="1">
          <reference field="4294967294" count="1" selected="0">
            <x v="27"/>
          </reference>
        </references>
      </pivotArea>
    </format>
    <format dxfId="4871">
      <pivotArea field="0" dataOnly="0" labelOnly="1" grandRow="1" outline="0" offset="IV256" axis="axisRow" fieldPosition="0">
        <references count="1">
          <reference field="4294967294" count="1" selected="0">
            <x v="28"/>
          </reference>
        </references>
      </pivotArea>
    </format>
    <format dxfId="4870">
      <pivotArea field="0" dataOnly="0" labelOnly="1" grandRow="1" outline="0" offset="IV256" axis="axisRow" fieldPosition="0">
        <references count="1">
          <reference field="4294967294" count="1" selected="0">
            <x v="29"/>
          </reference>
        </references>
      </pivotArea>
    </format>
    <format dxfId="4869">
      <pivotArea field="0" dataOnly="0" labelOnly="1" grandRow="1" outline="0" offset="IV256" axis="axisRow" fieldPosition="0">
        <references count="1">
          <reference field="4294967294" count="1" selected="0">
            <x v="30"/>
          </reference>
        </references>
      </pivotArea>
    </format>
    <format dxfId="4868">
      <pivotArea field="0" dataOnly="0" labelOnly="1" grandRow="1" outline="0" offset="IV256" axis="axisRow" fieldPosition="0">
        <references count="1">
          <reference field="4294967294" count="1" selected="0">
            <x v="31"/>
          </reference>
        </references>
      </pivotArea>
    </format>
    <format dxfId="4867">
      <pivotArea field="0" dataOnly="0" labelOnly="1" grandRow="1" outline="0" offset="IV256" axis="axisRow" fieldPosition="0">
        <references count="1">
          <reference field="4294967294" count="1" selected="0">
            <x v="32"/>
          </reference>
        </references>
      </pivotArea>
    </format>
    <format dxfId="4866">
      <pivotArea field="0" dataOnly="0" labelOnly="1" grandRow="1" outline="0" offset="IV256" axis="axisRow" fieldPosition="0">
        <references count="1">
          <reference field="4294967294" count="1" selected="0">
            <x v="33"/>
          </reference>
        </references>
      </pivotArea>
    </format>
    <format dxfId="4865">
      <pivotArea field="0" dataOnly="0" labelOnly="1" grandRow="1" outline="0" offset="IV256" axis="axisRow" fieldPosition="0">
        <references count="1">
          <reference field="4294967294" count="1" selected="0">
            <x v="34"/>
          </reference>
        </references>
      </pivotArea>
    </format>
    <format dxfId="4864">
      <pivotArea field="0" dataOnly="0" labelOnly="1" grandRow="1" outline="0" offset="IV256" axis="axisRow" fieldPosition="0">
        <references count="1">
          <reference field="4294967294" count="1" selected="0">
            <x v="35"/>
          </reference>
        </references>
      </pivotArea>
    </format>
    <format dxfId="4863">
      <pivotArea type="all" dataOnly="0" outline="0" fieldPosition="0"/>
    </format>
    <format dxfId="4862">
      <pivotArea type="all" dataOnly="0" outline="0" fieldPosition="0"/>
    </format>
    <format dxfId="4861">
      <pivotArea outline="0" fieldPosition="0">
        <references count="2">
          <reference field="4" count="1" selected="0">
            <x v="8"/>
          </reference>
          <reference field="70" count="1" selected="0">
            <x v="1"/>
          </reference>
        </references>
      </pivotArea>
    </format>
    <format dxfId="4860">
      <pivotArea dataOnly="0" labelOnly="1" outline="0" offset="B256" fieldPosition="0">
        <references count="1">
          <reference field="70" count="1">
            <x v="1"/>
          </reference>
        </references>
      </pivotArea>
    </format>
    <format dxfId="4859">
      <pivotArea dataOnly="0" labelOnly="1" outline="0" fieldPosition="0">
        <references count="2">
          <reference field="4" count="1">
            <x v="8"/>
          </reference>
          <reference field="70" count="1" selected="0">
            <x v="1"/>
          </reference>
        </references>
      </pivotArea>
    </format>
    <format dxfId="4858">
      <pivotArea outline="0" fieldPosition="0">
        <references count="2">
          <reference field="4" count="1" selected="0">
            <x v="7"/>
          </reference>
          <reference field="70" count="1" selected="0">
            <x v="1"/>
          </reference>
        </references>
      </pivotArea>
    </format>
    <format dxfId="4857">
      <pivotArea dataOnly="0" labelOnly="1" outline="0" fieldPosition="0">
        <references count="2">
          <reference field="4" count="1">
            <x v="7"/>
          </reference>
          <reference field="70" count="1" selected="0">
            <x v="1"/>
          </reference>
        </references>
      </pivotArea>
    </format>
    <format dxfId="4856">
      <pivotArea dataOnly="0" labelOnly="1" outline="0" offset="A256" fieldPosition="0">
        <references count="1">
          <reference field="70" count="1">
            <x v="1"/>
          </reference>
        </references>
      </pivotArea>
    </format>
    <format dxfId="4855">
      <pivotArea outline="0" fieldPosition="0">
        <references count="2">
          <reference field="4" count="1" selected="0">
            <x v="11"/>
          </reference>
          <reference field="70" count="1" selected="0">
            <x v="2"/>
          </reference>
        </references>
      </pivotArea>
    </format>
    <format dxfId="4854">
      <pivotArea dataOnly="0" labelOnly="1" outline="0" fieldPosition="0">
        <references count="2">
          <reference field="4" count="1">
            <x v="11"/>
          </reference>
          <reference field="70" count="1" selected="0">
            <x v="2"/>
          </reference>
        </references>
      </pivotArea>
    </format>
    <format dxfId="4853">
      <pivotArea outline="0" fieldPosition="0">
        <references count="2">
          <reference field="4294967294" count="1" selected="0">
            <x v="35"/>
          </reference>
          <reference field="0" count="1" selected="0">
            <x v="0"/>
          </reference>
        </references>
      </pivotArea>
    </format>
    <format dxfId="4852">
      <pivotArea dataOnly="0" labelOnly="1" outline="0" offset="IV256" fieldPosition="0">
        <references count="1">
          <reference field="0" count="1">
            <x v="0"/>
          </reference>
        </references>
      </pivotArea>
    </format>
    <format dxfId="4851">
      <pivotArea dataOnly="0" labelOnly="1" outline="0" fieldPosition="0">
        <references count="2">
          <reference field="4294967294" count="1">
            <x v="35"/>
          </reference>
          <reference field="0" count="1" selected="0">
            <x v="0"/>
          </reference>
        </references>
      </pivotArea>
    </format>
    <format dxfId="1328">
      <pivotArea outline="0" fieldPosition="0">
        <references count="1">
          <reference field="70" count="3" selected="0" defaultSubtotal="1">
            <x v="0"/>
            <x v="1"/>
            <x v="2"/>
          </reference>
        </references>
      </pivotArea>
    </format>
    <format dxfId="1329">
      <pivotArea dataOnly="0" labelOnly="1" outline="0" offset="IV256" fieldPosition="0">
        <references count="1">
          <reference field="70" count="1" defaultSubtotal="1">
            <x v="0"/>
          </reference>
        </references>
      </pivotArea>
    </format>
    <format dxfId="1330">
      <pivotArea dataOnly="0" labelOnly="1" outline="0" offset="IV256" fieldPosition="0">
        <references count="1">
          <reference field="70" count="1" defaultSubtotal="1">
            <x v="1"/>
          </reference>
        </references>
      </pivotArea>
    </format>
    <format dxfId="1331">
      <pivotArea dataOnly="0" labelOnly="1" outline="0" offset="IV256" fieldPosition="0">
        <references count="1">
          <reference field="70" count="1" defaultSubtotal="1">
            <x v="2"/>
          </reference>
        </references>
      </pivotArea>
    </format>
    <format dxfId="1332">
      <pivotArea dataOnly="0" labelOnly="1" outline="0" fieldPosition="0">
        <references count="2">
          <reference field="4" count="7">
            <x v="0"/>
            <x v="1"/>
            <x v="2"/>
            <x v="3"/>
            <x v="4"/>
            <x v="5"/>
            <x v="6"/>
          </reference>
          <reference field="70" count="1" selected="0">
            <x v="0"/>
          </reference>
        </references>
      </pivotArea>
    </format>
    <format dxfId="1333">
      <pivotArea dataOnly="0" labelOnly="1" outline="0" fieldPosition="0">
        <references count="2">
          <reference field="4" count="4">
            <x v="7"/>
            <x v="8"/>
            <x v="9"/>
            <x v="10"/>
          </reference>
          <reference field="70" count="1" selected="0">
            <x v="1"/>
          </reference>
        </references>
      </pivotArea>
    </format>
    <format dxfId="1334">
      <pivotArea dataOnly="0" labelOnly="1" outline="0" fieldPosition="0">
        <references count="2">
          <reference field="4" count="2">
            <x v="11"/>
            <x v="12"/>
          </reference>
          <reference field="70" count="1" selected="0">
            <x v="2"/>
          </reference>
        </references>
      </pivotArea>
    </format>
    <format dxfId="1335">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1336">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1337">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1338">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1339">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1340">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1341">
      <pivotArea outline="0" fieldPosition="0">
        <references count="4">
          <reference field="4294967294" count="1" selected="0">
            <x v="20"/>
          </reference>
          <reference field="0" count="1" selected="0">
            <x v="3"/>
          </reference>
          <reference field="4" count="2" selected="0">
            <x v="0"/>
            <x v="1"/>
          </reference>
          <reference field="70" count="1" selected="0">
            <x v="0"/>
          </reference>
        </references>
      </pivotArea>
    </format>
    <format dxfId="1342">
      <pivotArea outline="0" fieldPosition="0">
        <references count="4">
          <reference field="4294967294" count="1" selected="0">
            <x v="26"/>
          </reference>
          <reference field="0" count="1" selected="0">
            <x v="3"/>
          </reference>
          <reference field="4" count="2" selected="0">
            <x v="0"/>
            <x v="1"/>
          </reference>
          <reference field="70" count="1" selected="0">
            <x v="0"/>
          </reference>
        </references>
      </pivotArea>
    </format>
    <format dxfId="1343">
      <pivotArea outline="0" fieldPosition="0">
        <references count="4">
          <reference field="4294967294" count="1" selected="0">
            <x v="32"/>
          </reference>
          <reference field="0" count="1" selected="0">
            <x v="3"/>
          </reference>
          <reference field="4" count="1" selected="0">
            <x v="2"/>
          </reference>
          <reference field="70" count="1" selected="0">
            <x v="0"/>
          </reference>
        </references>
      </pivotArea>
    </format>
    <format dxfId="1344">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1345">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1346">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1347">
      <pivotArea outline="0" fieldPosition="0">
        <references count="4">
          <reference field="4294967294" count="1" selected="0">
            <x v="20"/>
          </reference>
          <reference field="0" count="1" selected="0">
            <x v="10"/>
          </reference>
          <reference field="4" count="1" selected="0">
            <x v="4"/>
          </reference>
          <reference field="70" count="1" selected="0">
            <x v="0"/>
          </reference>
        </references>
      </pivotArea>
    </format>
    <format dxfId="1348">
      <pivotArea outline="0" fieldPosition="0">
        <references count="4">
          <reference field="4294967294" count="1" selected="0">
            <x v="29"/>
          </reference>
          <reference field="0" count="1" selected="0">
            <x v="10"/>
          </reference>
          <reference field="4" count="1" selected="0">
            <x v="4"/>
          </reference>
          <reference field="70" count="1" selected="0">
            <x v="0"/>
          </reference>
        </references>
      </pivotArea>
    </format>
    <format dxfId="1349">
      <pivotArea outline="0" fieldPosition="0">
        <references count="4">
          <reference field="4294967294" count="1" selected="0">
            <x v="26"/>
          </reference>
          <reference field="0" count="1" selected="0">
            <x v="11"/>
          </reference>
          <reference field="4" count="1" selected="0">
            <x v="4"/>
          </reference>
          <reference field="70" count="1" selected="0">
            <x v="0"/>
          </reference>
        </references>
      </pivotArea>
    </format>
    <format dxfId="1350">
      <pivotArea outline="0" fieldPosition="0">
        <references count="4">
          <reference field="4294967294" count="1" selected="0">
            <x v="20"/>
          </reference>
          <reference field="0" count="1" selected="0">
            <x v="11"/>
          </reference>
          <reference field="4" count="1" selected="0">
            <x v="4"/>
          </reference>
          <reference field="70" count="1" selected="0">
            <x v="0"/>
          </reference>
        </references>
      </pivotArea>
    </format>
    <format dxfId="1351">
      <pivotArea outline="0" fieldPosition="0">
        <references count="4">
          <reference field="4294967294" count="1" selected="0">
            <x v="26"/>
          </reference>
          <reference field="0" count="1" selected="0">
            <x v="12"/>
          </reference>
          <reference field="4" count="1" selected="0">
            <x v="2"/>
          </reference>
          <reference field="70" count="1" selected="0">
            <x v="0"/>
          </reference>
        </references>
      </pivotArea>
    </format>
    <format dxfId="1352">
      <pivotArea outline="0" fieldPosition="0">
        <references count="4">
          <reference field="4294967294" count="1" selected="0">
            <x v="20"/>
          </reference>
          <reference field="0" count="1" selected="0">
            <x v="13"/>
          </reference>
          <reference field="4" count="1" selected="0">
            <x v="5"/>
          </reference>
          <reference field="70" count="1" selected="0">
            <x v="0"/>
          </reference>
        </references>
      </pivotArea>
    </format>
    <format dxfId="1353">
      <pivotArea outline="0" fieldPosition="0">
        <references count="4">
          <reference field="4294967294" count="1" selected="0">
            <x v="26"/>
          </reference>
          <reference field="0" count="1" selected="0">
            <x v="13"/>
          </reference>
          <reference field="4" count="1" selected="0">
            <x v="5"/>
          </reference>
          <reference field="70" count="1" selected="0">
            <x v="0"/>
          </reference>
        </references>
      </pivotArea>
    </format>
    <format dxfId="1354">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1355">
      <pivotArea outline="0" fieldPosition="0">
        <references count="4">
          <reference field="4294967294" count="1" selected="0">
            <x v="11"/>
          </reference>
          <reference field="0" count="1" selected="0">
            <x v="14"/>
          </reference>
          <reference field="4" count="1" selected="0">
            <x v="5"/>
          </reference>
          <reference field="70" count="1" selected="0">
            <x v="0"/>
          </reference>
        </references>
      </pivotArea>
    </format>
    <format dxfId="1356">
      <pivotArea outline="0" fieldPosition="0">
        <references count="4">
          <reference field="4294967294" count="1" selected="0">
            <x v="23"/>
          </reference>
          <reference field="0" count="1" selected="0">
            <x v="15"/>
          </reference>
          <reference field="4" count="1" selected="0">
            <x v="5"/>
          </reference>
          <reference field="70" count="1" selected="0">
            <x v="0"/>
          </reference>
        </references>
      </pivotArea>
    </format>
    <format dxfId="1357">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1358">
      <pivotArea outline="0" fieldPosition="0">
        <references count="4">
          <reference field="4294967294" count="1" selected="0">
            <x v="5"/>
          </reference>
          <reference field="0" count="1" selected="0">
            <x v="1"/>
          </reference>
          <reference field="4" count="1" selected="0">
            <x v="8"/>
          </reference>
          <reference field="70" count="1" selected="0">
            <x v="1"/>
          </reference>
        </references>
      </pivotArea>
    </format>
    <format dxfId="1359">
      <pivotArea outline="0" fieldPosition="0">
        <references count="4">
          <reference field="4294967294" count="1" selected="0">
            <x v="2"/>
          </reference>
          <reference field="0" count="1" selected="0">
            <x v="1"/>
          </reference>
          <reference field="4" count="1" selected="0">
            <x v="8"/>
          </reference>
          <reference field="70" count="1" selected="0">
            <x v="1"/>
          </reference>
        </references>
      </pivotArea>
    </format>
    <format dxfId="1360">
      <pivotArea outline="0" fieldPosition="0">
        <references count="4">
          <reference field="4294967294" count="1" selected="0">
            <x v="2"/>
          </reference>
          <reference field="0" count="1" selected="0">
            <x v="2"/>
          </reference>
          <reference field="4" count="1" selected="0">
            <x v="9"/>
          </reference>
          <reference field="70" count="1" selected="0">
            <x v="1"/>
          </reference>
        </references>
      </pivotArea>
    </format>
    <format dxfId="1361">
      <pivotArea outline="0" fieldPosition="0">
        <references count="4">
          <reference field="4294967294" count="1" selected="0">
            <x v="8"/>
          </reference>
          <reference field="0" count="1" selected="0">
            <x v="2"/>
          </reference>
          <reference field="4" count="1" selected="0">
            <x v="9"/>
          </reference>
          <reference field="70" count="1" selected="0">
            <x v="1"/>
          </reference>
        </references>
      </pivotArea>
    </format>
    <format dxfId="1362">
      <pivotArea outline="0" fieldPosition="0">
        <references count="4">
          <reference field="4294967294" count="1" selected="0">
            <x v="2"/>
          </reference>
          <reference field="0" count="1" selected="0">
            <x v="3"/>
          </reference>
          <reference field="4" count="1" selected="0">
            <x v="10"/>
          </reference>
          <reference field="70" count="1" selected="0">
            <x v="1"/>
          </reference>
        </references>
      </pivotArea>
    </format>
    <format dxfId="1363">
      <pivotArea outline="0" fieldPosition="0">
        <references count="4">
          <reference field="4294967294" count="1" selected="0">
            <x v="14"/>
          </reference>
          <reference field="0" count="1" selected="0">
            <x v="3"/>
          </reference>
          <reference field="4" count="1" selected="0">
            <x v="10"/>
          </reference>
          <reference field="70" count="1" selected="0">
            <x v="1"/>
          </reference>
        </references>
      </pivotArea>
    </format>
    <format dxfId="1364">
      <pivotArea outline="0" fieldPosition="0">
        <references count="4">
          <reference field="4294967294" count="1" selected="0">
            <x v="2"/>
          </reference>
          <reference field="0" count="1" selected="0">
            <x v="5"/>
          </reference>
          <reference field="4" count="1" selected="0">
            <x v="10"/>
          </reference>
          <reference field="70" count="1" selected="0">
            <x v="1"/>
          </reference>
        </references>
      </pivotArea>
    </format>
    <format dxfId="1365">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1366">
      <pivotArea outline="0" fieldPosition="0">
        <references count="4">
          <reference field="4294967294" count="1" selected="0">
            <x v="5"/>
          </reference>
          <reference field="0" count="1" selected="0">
            <x v="5"/>
          </reference>
          <reference field="4" count="1" selected="0">
            <x v="10"/>
          </reference>
          <reference field="70" count="1" selected="0">
            <x v="1"/>
          </reference>
        </references>
      </pivotArea>
    </format>
    <format dxfId="1367">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1368">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1369">
      <pivotArea outline="0" fieldPosition="0">
        <references count="4">
          <reference field="4294967294" count="1" selected="0">
            <x v="26"/>
          </reference>
          <reference field="0" count="1" selected="0">
            <x v="15"/>
          </reference>
          <reference field="4" count="1" selected="0">
            <x v="9"/>
          </reference>
          <reference field="70" count="1" selected="0">
            <x v="1"/>
          </reference>
        </references>
      </pivotArea>
    </format>
    <format dxfId="1370">
      <pivotArea outline="0" fieldPosition="0">
        <references count="4">
          <reference field="4294967294" count="1" selected="0">
            <x v="14"/>
          </reference>
          <reference field="0" count="1" selected="0">
            <x v="0"/>
          </reference>
          <reference field="4" count="1" selected="0">
            <x v="8"/>
          </reference>
          <reference field="70" count="1" selected="0">
            <x v="1"/>
          </reference>
        </references>
      </pivotArea>
    </format>
    <format dxfId="1371">
      <pivotArea outline="0" fieldPosition="0">
        <references count="4">
          <reference field="4294967294" count="1" selected="0">
            <x v="32"/>
          </reference>
          <reference field="0" count="1" selected="0">
            <x v="9"/>
          </reference>
          <reference field="4" count="1" selected="0">
            <x v="2"/>
          </reference>
          <reference field="70" count="1" selected="0">
            <x v="0"/>
          </reference>
        </references>
      </pivotArea>
    </format>
    <format dxfId="1372">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1373">
      <pivotArea outline="0" fieldPosition="0">
        <references count="4">
          <reference field="4294967294" count="1" selected="0">
            <x v="29"/>
          </reference>
          <reference field="0" count="1" selected="0">
            <x v="11"/>
          </reference>
          <reference field="4" count="1" selected="0">
            <x v="2"/>
          </reference>
          <reference field="70" count="1" selected="0">
            <x v="0"/>
          </reference>
        </references>
      </pivotArea>
    </format>
    <format dxfId="1374">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1375">
      <pivotArea outline="0" fieldPosition="0">
        <references count="4">
          <reference field="4294967294" count="1" selected="0">
            <x v="26"/>
          </reference>
          <reference field="0" count="1" selected="0">
            <x v="5"/>
          </reference>
          <reference field="4" count="1" selected="0">
            <x v="0"/>
          </reference>
          <reference field="70" count="1" selected="0">
            <x v="0"/>
          </reference>
        </references>
      </pivotArea>
    </format>
    <format dxfId="1376">
      <pivotArea type="all" dataOnly="0" outline="0" fieldPosition="0"/>
    </format>
    <format dxfId="1377">
      <pivotArea outline="0" fieldPosition="0"/>
    </format>
    <format dxfId="1378">
      <pivotArea type="origin" dataOnly="0" labelOnly="1" outline="0" fieldPosition="0"/>
    </format>
    <format dxfId="1379">
      <pivotArea field="70" type="button" dataOnly="0" labelOnly="1" outline="0" axis="axisCol" fieldPosition="0"/>
    </format>
    <format dxfId="1380">
      <pivotArea field="4" type="button" dataOnly="0" labelOnly="1" outline="0" axis="axisCol" fieldPosition="1"/>
    </format>
    <format dxfId="1381">
      <pivotArea type="topRight" dataOnly="0" labelOnly="1" outline="0" fieldPosition="0"/>
    </format>
    <format dxfId="1382">
      <pivotArea field="0" type="button" dataOnly="0" labelOnly="1" outline="0" axis="axisRow" fieldPosition="0"/>
    </format>
    <format dxfId="1383">
      <pivotArea field="-2" type="button" dataOnly="0" labelOnly="1" outline="0" axis="axisRow" fieldPosition="1"/>
    </format>
    <format dxfId="1384">
      <pivotArea dataOnly="0" labelOnly="1" outline="0" fieldPosition="0">
        <references count="1">
          <reference field="0" count="0"/>
        </references>
      </pivotArea>
    </format>
    <format dxfId="1385">
      <pivotArea field="0" dataOnly="0" labelOnly="1" grandRow="1" outline="0" axis="axisRow" fieldPosition="0">
        <references count="1">
          <reference field="4294967294" count="1" selected="0">
            <x v="0"/>
          </reference>
        </references>
      </pivotArea>
    </format>
    <format dxfId="1386">
      <pivotArea field="0" dataOnly="0" labelOnly="1" grandRow="1" outline="0" axis="axisRow" fieldPosition="0">
        <references count="1">
          <reference field="4294967294" count="1" selected="0">
            <x v="1"/>
          </reference>
        </references>
      </pivotArea>
    </format>
    <format dxfId="1387">
      <pivotArea field="0" dataOnly="0" labelOnly="1" grandRow="1" outline="0" axis="axisRow" fieldPosition="0">
        <references count="1">
          <reference field="4294967294" count="1" selected="0">
            <x v="2"/>
          </reference>
        </references>
      </pivotArea>
    </format>
    <format dxfId="1388">
      <pivotArea field="0" dataOnly="0" labelOnly="1" grandRow="1" outline="0" axis="axisRow" fieldPosition="0">
        <references count="1">
          <reference field="4294967294" count="1" selected="0">
            <x v="3"/>
          </reference>
        </references>
      </pivotArea>
    </format>
    <format dxfId="1389">
      <pivotArea field="0" dataOnly="0" labelOnly="1" grandRow="1" outline="0" axis="axisRow" fieldPosition="0">
        <references count="1">
          <reference field="4294967294" count="1" selected="0">
            <x v="4"/>
          </reference>
        </references>
      </pivotArea>
    </format>
    <format dxfId="1390">
      <pivotArea field="0" dataOnly="0" labelOnly="1" grandRow="1" outline="0" axis="axisRow" fieldPosition="0">
        <references count="1">
          <reference field="4294967294" count="1" selected="0">
            <x v="5"/>
          </reference>
        </references>
      </pivotArea>
    </format>
    <format dxfId="1391">
      <pivotArea field="0" dataOnly="0" labelOnly="1" grandRow="1" outline="0" axis="axisRow" fieldPosition="0">
        <references count="1">
          <reference field="4294967294" count="1" selected="0">
            <x v="6"/>
          </reference>
        </references>
      </pivotArea>
    </format>
    <format dxfId="1392">
      <pivotArea field="0" dataOnly="0" labelOnly="1" grandRow="1" outline="0" axis="axisRow" fieldPosition="0">
        <references count="1">
          <reference field="4294967294" count="1" selected="0">
            <x v="7"/>
          </reference>
        </references>
      </pivotArea>
    </format>
    <format dxfId="1393">
      <pivotArea field="0" dataOnly="0" labelOnly="1" grandRow="1" outline="0" axis="axisRow" fieldPosition="0">
        <references count="1">
          <reference field="4294967294" count="1" selected="0">
            <x v="8"/>
          </reference>
        </references>
      </pivotArea>
    </format>
    <format dxfId="1394">
      <pivotArea field="0" dataOnly="0" labelOnly="1" grandRow="1" outline="0" axis="axisRow" fieldPosition="0">
        <references count="1">
          <reference field="4294967294" count="1" selected="0">
            <x v="9"/>
          </reference>
        </references>
      </pivotArea>
    </format>
    <format dxfId="1395">
      <pivotArea field="0" dataOnly="0" labelOnly="1" grandRow="1" outline="0" axis="axisRow" fieldPosition="0">
        <references count="1">
          <reference field="4294967294" count="1" selected="0">
            <x v="10"/>
          </reference>
        </references>
      </pivotArea>
    </format>
    <format dxfId="1396">
      <pivotArea field="0" dataOnly="0" labelOnly="1" grandRow="1" outline="0" axis="axisRow" fieldPosition="0">
        <references count="1">
          <reference field="4294967294" count="1" selected="0">
            <x v="11"/>
          </reference>
        </references>
      </pivotArea>
    </format>
    <format dxfId="1397">
      <pivotArea field="0" dataOnly="0" labelOnly="1" grandRow="1" outline="0" axis="axisRow" fieldPosition="0">
        <references count="1">
          <reference field="4294967294" count="1" selected="0">
            <x v="12"/>
          </reference>
        </references>
      </pivotArea>
    </format>
    <format dxfId="1398">
      <pivotArea field="0" dataOnly="0" labelOnly="1" grandRow="1" outline="0" axis="axisRow" fieldPosition="0">
        <references count="1">
          <reference field="4294967294" count="1" selected="0">
            <x v="13"/>
          </reference>
        </references>
      </pivotArea>
    </format>
    <format dxfId="1399">
      <pivotArea field="0" dataOnly="0" labelOnly="1" grandRow="1" outline="0" axis="axisRow" fieldPosition="0">
        <references count="1">
          <reference field="4294967294" count="1" selected="0">
            <x v="14"/>
          </reference>
        </references>
      </pivotArea>
    </format>
    <format dxfId="1400">
      <pivotArea field="0" dataOnly="0" labelOnly="1" grandRow="1" outline="0" axis="axisRow" fieldPosition="0">
        <references count="1">
          <reference field="4294967294" count="1" selected="0">
            <x v="15"/>
          </reference>
        </references>
      </pivotArea>
    </format>
    <format dxfId="1401">
      <pivotArea field="0" dataOnly="0" labelOnly="1" grandRow="1" outline="0" axis="axisRow" fieldPosition="0">
        <references count="1">
          <reference field="4294967294" count="1" selected="0">
            <x v="16"/>
          </reference>
        </references>
      </pivotArea>
    </format>
    <format dxfId="1402">
      <pivotArea field="0" dataOnly="0" labelOnly="1" grandRow="1" outline="0" axis="axisRow" fieldPosition="0">
        <references count="1">
          <reference field="4294967294" count="1" selected="0">
            <x v="17"/>
          </reference>
        </references>
      </pivotArea>
    </format>
    <format dxfId="1403">
      <pivotArea field="0" dataOnly="0" labelOnly="1" grandRow="1" outline="0" axis="axisRow" fieldPosition="0">
        <references count="1">
          <reference field="4294967294" count="1" selected="0">
            <x v="18"/>
          </reference>
        </references>
      </pivotArea>
    </format>
    <format dxfId="1404">
      <pivotArea field="0" dataOnly="0" labelOnly="1" grandRow="1" outline="0" axis="axisRow" fieldPosition="0">
        <references count="1">
          <reference field="4294967294" count="1" selected="0">
            <x v="19"/>
          </reference>
        </references>
      </pivotArea>
    </format>
    <format dxfId="1405">
      <pivotArea field="0" dataOnly="0" labelOnly="1" grandRow="1" outline="0" axis="axisRow" fieldPosition="0">
        <references count="1">
          <reference field="4294967294" count="1" selected="0">
            <x v="20"/>
          </reference>
        </references>
      </pivotArea>
    </format>
    <format dxfId="1406">
      <pivotArea field="0" dataOnly="0" labelOnly="1" grandRow="1" outline="0" axis="axisRow" fieldPosition="0">
        <references count="1">
          <reference field="4294967294" count="1" selected="0">
            <x v="21"/>
          </reference>
        </references>
      </pivotArea>
    </format>
    <format dxfId="1407">
      <pivotArea field="0" dataOnly="0" labelOnly="1" grandRow="1" outline="0" axis="axisRow" fieldPosition="0">
        <references count="1">
          <reference field="4294967294" count="1" selected="0">
            <x v="22"/>
          </reference>
        </references>
      </pivotArea>
    </format>
    <format dxfId="1408">
      <pivotArea field="0" dataOnly="0" labelOnly="1" grandRow="1" outline="0" axis="axisRow" fieldPosition="0">
        <references count="1">
          <reference field="4294967294" count="1" selected="0">
            <x v="23"/>
          </reference>
        </references>
      </pivotArea>
    </format>
    <format dxfId="1409">
      <pivotArea field="0" dataOnly="0" labelOnly="1" grandRow="1" outline="0" axis="axisRow" fieldPosition="0">
        <references count="1">
          <reference field="4294967294" count="1" selected="0">
            <x v="24"/>
          </reference>
        </references>
      </pivotArea>
    </format>
    <format dxfId="1410">
      <pivotArea field="0" dataOnly="0" labelOnly="1" grandRow="1" outline="0" axis="axisRow" fieldPosition="0">
        <references count="1">
          <reference field="4294967294" count="1" selected="0">
            <x v="25"/>
          </reference>
        </references>
      </pivotArea>
    </format>
    <format dxfId="1411">
      <pivotArea field="0" dataOnly="0" labelOnly="1" grandRow="1" outline="0" axis="axisRow" fieldPosition="0">
        <references count="1">
          <reference field="4294967294" count="1" selected="0">
            <x v="26"/>
          </reference>
        </references>
      </pivotArea>
    </format>
    <format dxfId="1412">
      <pivotArea field="0" dataOnly="0" labelOnly="1" grandRow="1" outline="0" axis="axisRow" fieldPosition="0">
        <references count="1">
          <reference field="4294967294" count="1" selected="0">
            <x v="27"/>
          </reference>
        </references>
      </pivotArea>
    </format>
    <format dxfId="1413">
      <pivotArea field="0" dataOnly="0" labelOnly="1" grandRow="1" outline="0" axis="axisRow" fieldPosition="0">
        <references count="1">
          <reference field="4294967294" count="1" selected="0">
            <x v="28"/>
          </reference>
        </references>
      </pivotArea>
    </format>
    <format dxfId="1414">
      <pivotArea field="0" dataOnly="0" labelOnly="1" grandRow="1" outline="0" axis="axisRow" fieldPosition="0">
        <references count="1">
          <reference field="4294967294" count="1" selected="0">
            <x v="29"/>
          </reference>
        </references>
      </pivotArea>
    </format>
    <format dxfId="1415">
      <pivotArea field="0" dataOnly="0" labelOnly="1" grandRow="1" outline="0" axis="axisRow" fieldPosition="0">
        <references count="1">
          <reference field="4294967294" count="1" selected="0">
            <x v="30"/>
          </reference>
        </references>
      </pivotArea>
    </format>
    <format dxfId="1416">
      <pivotArea field="0" dataOnly="0" labelOnly="1" grandRow="1" outline="0" axis="axisRow" fieldPosition="0">
        <references count="1">
          <reference field="4294967294" count="1" selected="0">
            <x v="31"/>
          </reference>
        </references>
      </pivotArea>
    </format>
    <format dxfId="1417">
      <pivotArea field="0" dataOnly="0" labelOnly="1" grandRow="1" outline="0" axis="axisRow" fieldPosition="0">
        <references count="1">
          <reference field="4294967294" count="1" selected="0">
            <x v="32"/>
          </reference>
        </references>
      </pivotArea>
    </format>
    <format dxfId="1418">
      <pivotArea field="0" dataOnly="0" labelOnly="1" grandRow="1" outline="0" axis="axisRow" fieldPosition="0">
        <references count="1">
          <reference field="4294967294" count="1" selected="0">
            <x v="33"/>
          </reference>
        </references>
      </pivotArea>
    </format>
    <format dxfId="1419">
      <pivotArea field="0" dataOnly="0" labelOnly="1" grandRow="1" outline="0" axis="axisRow" fieldPosition="0">
        <references count="1">
          <reference field="4294967294" count="1" selected="0">
            <x v="34"/>
          </reference>
        </references>
      </pivotArea>
    </format>
    <format dxfId="1420">
      <pivotArea field="0" dataOnly="0" labelOnly="1" grandRow="1" outline="0" axis="axisRow" fieldPosition="0">
        <references count="1">
          <reference field="4294967294" count="1" selected="0">
            <x v="35"/>
          </reference>
        </references>
      </pivotArea>
    </format>
    <format dxfId="1421">
      <pivotArea field="0" dataOnly="0" labelOnly="1" grandRow="1" outline="0" axis="axisRow" fieldPosition="0">
        <references count="1">
          <reference field="4294967294" count="1" selected="0">
            <x v="0"/>
          </reference>
        </references>
      </pivotArea>
    </format>
    <format dxfId="1422">
      <pivotArea field="0" dataOnly="0" labelOnly="1" grandRow="1" outline="0" axis="axisRow" fieldPosition="0">
        <references count="1">
          <reference field="4294967294" count="1" selected="0">
            <x v="1"/>
          </reference>
        </references>
      </pivotArea>
    </format>
    <format dxfId="1423">
      <pivotArea field="0" dataOnly="0" labelOnly="1" grandRow="1" outline="0" axis="axisRow" fieldPosition="0">
        <references count="1">
          <reference field="4294967294" count="1" selected="0">
            <x v="2"/>
          </reference>
        </references>
      </pivotArea>
    </format>
    <format dxfId="1424">
      <pivotArea field="0" dataOnly="0" labelOnly="1" grandRow="1" outline="0" axis="axisRow" fieldPosition="0">
        <references count="1">
          <reference field="4294967294" count="1" selected="0">
            <x v="3"/>
          </reference>
        </references>
      </pivotArea>
    </format>
    <format dxfId="1425">
      <pivotArea field="0" dataOnly="0" labelOnly="1" grandRow="1" outline="0" axis="axisRow" fieldPosition="0">
        <references count="1">
          <reference field="4294967294" count="1" selected="0">
            <x v="4"/>
          </reference>
        </references>
      </pivotArea>
    </format>
    <format dxfId="1426">
      <pivotArea field="0" dataOnly="0" labelOnly="1" grandRow="1" outline="0" axis="axisRow" fieldPosition="0">
        <references count="1">
          <reference field="4294967294" count="1" selected="0">
            <x v="5"/>
          </reference>
        </references>
      </pivotArea>
    </format>
    <format dxfId="1427">
      <pivotArea field="0" dataOnly="0" labelOnly="1" grandRow="1" outline="0" axis="axisRow" fieldPosition="0">
        <references count="1">
          <reference field="4294967294" count="1" selected="0">
            <x v="6"/>
          </reference>
        </references>
      </pivotArea>
    </format>
    <format dxfId="1428">
      <pivotArea field="0" dataOnly="0" labelOnly="1" grandRow="1" outline="0" axis="axisRow" fieldPosition="0">
        <references count="1">
          <reference field="4294967294" count="1" selected="0">
            <x v="7"/>
          </reference>
        </references>
      </pivotArea>
    </format>
    <format dxfId="1429">
      <pivotArea field="0" dataOnly="0" labelOnly="1" grandRow="1" outline="0" axis="axisRow" fieldPosition="0">
        <references count="1">
          <reference field="4294967294" count="1" selected="0">
            <x v="8"/>
          </reference>
        </references>
      </pivotArea>
    </format>
    <format dxfId="1430">
      <pivotArea field="0" dataOnly="0" labelOnly="1" grandRow="1" outline="0" axis="axisRow" fieldPosition="0">
        <references count="1">
          <reference field="4294967294" count="1" selected="0">
            <x v="9"/>
          </reference>
        </references>
      </pivotArea>
    </format>
    <format dxfId="1431">
      <pivotArea field="0" dataOnly="0" labelOnly="1" grandRow="1" outline="0" axis="axisRow" fieldPosition="0">
        <references count="1">
          <reference field="4294967294" count="1" selected="0">
            <x v="10"/>
          </reference>
        </references>
      </pivotArea>
    </format>
    <format dxfId="1432">
      <pivotArea field="0" dataOnly="0" labelOnly="1" grandRow="1" outline="0" axis="axisRow" fieldPosition="0">
        <references count="1">
          <reference field="4294967294" count="1" selected="0">
            <x v="11"/>
          </reference>
        </references>
      </pivotArea>
    </format>
    <format dxfId="1433">
      <pivotArea field="0" dataOnly="0" labelOnly="1" grandRow="1" outline="0" axis="axisRow" fieldPosition="0">
        <references count="1">
          <reference field="4294967294" count="1" selected="0">
            <x v="12"/>
          </reference>
        </references>
      </pivotArea>
    </format>
    <format dxfId="1434">
      <pivotArea field="0" dataOnly="0" labelOnly="1" grandRow="1" outline="0" axis="axisRow" fieldPosition="0">
        <references count="1">
          <reference field="4294967294" count="1" selected="0">
            <x v="13"/>
          </reference>
        </references>
      </pivotArea>
    </format>
    <format dxfId="1435">
      <pivotArea field="0" dataOnly="0" labelOnly="1" grandRow="1" outline="0" axis="axisRow" fieldPosition="0">
        <references count="1">
          <reference field="4294967294" count="1" selected="0">
            <x v="14"/>
          </reference>
        </references>
      </pivotArea>
    </format>
    <format dxfId="1436">
      <pivotArea field="0" dataOnly="0" labelOnly="1" grandRow="1" outline="0" axis="axisRow" fieldPosition="0">
        <references count="1">
          <reference field="4294967294" count="1" selected="0">
            <x v="15"/>
          </reference>
        </references>
      </pivotArea>
    </format>
    <format dxfId="1437">
      <pivotArea field="0" dataOnly="0" labelOnly="1" grandRow="1" outline="0" axis="axisRow" fieldPosition="0">
        <references count="1">
          <reference field="4294967294" count="1" selected="0">
            <x v="16"/>
          </reference>
        </references>
      </pivotArea>
    </format>
    <format dxfId="1438">
      <pivotArea field="0" dataOnly="0" labelOnly="1" grandRow="1" outline="0" axis="axisRow" fieldPosition="0">
        <references count="1">
          <reference field="4294967294" count="1" selected="0">
            <x v="17"/>
          </reference>
        </references>
      </pivotArea>
    </format>
    <format dxfId="1439">
      <pivotArea field="0" dataOnly="0" labelOnly="1" grandRow="1" outline="0" axis="axisRow" fieldPosition="0">
        <references count="1">
          <reference field="4294967294" count="1" selected="0">
            <x v="18"/>
          </reference>
        </references>
      </pivotArea>
    </format>
    <format dxfId="1440">
      <pivotArea field="0" dataOnly="0" labelOnly="1" grandRow="1" outline="0" axis="axisRow" fieldPosition="0">
        <references count="1">
          <reference field="4294967294" count="1" selected="0">
            <x v="19"/>
          </reference>
        </references>
      </pivotArea>
    </format>
    <format dxfId="1441">
      <pivotArea field="0" dataOnly="0" labelOnly="1" grandRow="1" outline="0" axis="axisRow" fieldPosition="0">
        <references count="1">
          <reference field="4294967294" count="1" selected="0">
            <x v="20"/>
          </reference>
        </references>
      </pivotArea>
    </format>
    <format dxfId="1442">
      <pivotArea field="0" dataOnly="0" labelOnly="1" grandRow="1" outline="0" axis="axisRow" fieldPosition="0">
        <references count="1">
          <reference field="4294967294" count="1" selected="0">
            <x v="21"/>
          </reference>
        </references>
      </pivotArea>
    </format>
    <format dxfId="1443">
      <pivotArea field="0" dataOnly="0" labelOnly="1" grandRow="1" outline="0" axis="axisRow" fieldPosition="0">
        <references count="1">
          <reference field="4294967294" count="1" selected="0">
            <x v="22"/>
          </reference>
        </references>
      </pivotArea>
    </format>
    <format dxfId="1444">
      <pivotArea field="0" dataOnly="0" labelOnly="1" grandRow="1" outline="0" axis="axisRow" fieldPosition="0">
        <references count="1">
          <reference field="4294967294" count="1" selected="0">
            <x v="23"/>
          </reference>
        </references>
      </pivotArea>
    </format>
    <format dxfId="1445">
      <pivotArea field="0" dataOnly="0" labelOnly="1" grandRow="1" outline="0" axis="axisRow" fieldPosition="0">
        <references count="1">
          <reference field="4294967294" count="1" selected="0">
            <x v="24"/>
          </reference>
        </references>
      </pivotArea>
    </format>
    <format dxfId="1446">
      <pivotArea field="0" dataOnly="0" labelOnly="1" grandRow="1" outline="0" axis="axisRow" fieldPosition="0">
        <references count="1">
          <reference field="4294967294" count="1" selected="0">
            <x v="25"/>
          </reference>
        </references>
      </pivotArea>
    </format>
    <format dxfId="1447">
      <pivotArea field="0" dataOnly="0" labelOnly="1" grandRow="1" outline="0" axis="axisRow" fieldPosition="0">
        <references count="1">
          <reference field="4294967294" count="1" selected="0">
            <x v="26"/>
          </reference>
        </references>
      </pivotArea>
    </format>
    <format dxfId="1448">
      <pivotArea field="0" dataOnly="0" labelOnly="1" grandRow="1" outline="0" axis="axisRow" fieldPosition="0">
        <references count="1">
          <reference field="4294967294" count="1" selected="0">
            <x v="27"/>
          </reference>
        </references>
      </pivotArea>
    </format>
    <format dxfId="1449">
      <pivotArea field="0" dataOnly="0" labelOnly="1" grandRow="1" outline="0" axis="axisRow" fieldPosition="0">
        <references count="1">
          <reference field="4294967294" count="1" selected="0">
            <x v="28"/>
          </reference>
        </references>
      </pivotArea>
    </format>
    <format dxfId="1450">
      <pivotArea field="0" dataOnly="0" labelOnly="1" grandRow="1" outline="0" axis="axisRow" fieldPosition="0">
        <references count="1">
          <reference field="4294967294" count="1" selected="0">
            <x v="29"/>
          </reference>
        </references>
      </pivotArea>
    </format>
    <format dxfId="1451">
      <pivotArea field="0" dataOnly="0" labelOnly="1" grandRow="1" outline="0" axis="axisRow" fieldPosition="0">
        <references count="1">
          <reference field="4294967294" count="1" selected="0">
            <x v="30"/>
          </reference>
        </references>
      </pivotArea>
    </format>
    <format dxfId="1452">
      <pivotArea field="0" dataOnly="0" labelOnly="1" grandRow="1" outline="0" axis="axisRow" fieldPosition="0">
        <references count="1">
          <reference field="4294967294" count="1" selected="0">
            <x v="31"/>
          </reference>
        </references>
      </pivotArea>
    </format>
    <format dxfId="1453">
      <pivotArea field="0" dataOnly="0" labelOnly="1" grandRow="1" outline="0" axis="axisRow" fieldPosition="0">
        <references count="1">
          <reference field="4294967294" count="1" selected="0">
            <x v="32"/>
          </reference>
        </references>
      </pivotArea>
    </format>
    <format dxfId="1454">
      <pivotArea field="0" dataOnly="0" labelOnly="1" grandRow="1" outline="0" axis="axisRow" fieldPosition="0">
        <references count="1">
          <reference field="4294967294" count="1" selected="0">
            <x v="33"/>
          </reference>
        </references>
      </pivotArea>
    </format>
    <format dxfId="1455">
      <pivotArea field="0" dataOnly="0" labelOnly="1" grandRow="1" outline="0" axis="axisRow" fieldPosition="0">
        <references count="1">
          <reference field="4294967294" count="1" selected="0">
            <x v="34"/>
          </reference>
        </references>
      </pivotArea>
    </format>
    <format dxfId="1456">
      <pivotArea field="0" dataOnly="0" labelOnly="1" grandRow="1" outline="0" axis="axisRow" fieldPosition="0">
        <references count="1">
          <reference field="4294967294" count="1" selected="0">
            <x v="35"/>
          </reference>
        </references>
      </pivotArea>
    </format>
    <format dxfId="1457">
      <pivotArea field="0" dataOnly="0" labelOnly="1" grandRow="1" outline="0" axis="axisRow" fieldPosition="0">
        <references count="1">
          <reference field="4294967294" count="1" selected="0">
            <x v="0"/>
          </reference>
        </references>
      </pivotArea>
    </format>
    <format dxfId="1458">
      <pivotArea field="0" dataOnly="0" labelOnly="1" grandRow="1" outline="0" axis="axisRow" fieldPosition="0">
        <references count="1">
          <reference field="4294967294" count="1" selected="0">
            <x v="1"/>
          </reference>
        </references>
      </pivotArea>
    </format>
    <format dxfId="1459">
      <pivotArea field="0" dataOnly="0" labelOnly="1" grandRow="1" outline="0" axis="axisRow" fieldPosition="0">
        <references count="1">
          <reference field="4294967294" count="1" selected="0">
            <x v="2"/>
          </reference>
        </references>
      </pivotArea>
    </format>
    <format dxfId="1460">
      <pivotArea field="0" dataOnly="0" labelOnly="1" grandRow="1" outline="0" axis="axisRow" fieldPosition="0">
        <references count="1">
          <reference field="4294967294" count="1" selected="0">
            <x v="3"/>
          </reference>
        </references>
      </pivotArea>
    </format>
    <format dxfId="1461">
      <pivotArea field="0" dataOnly="0" labelOnly="1" grandRow="1" outline="0" axis="axisRow" fieldPosition="0">
        <references count="1">
          <reference field="4294967294" count="1" selected="0">
            <x v="4"/>
          </reference>
        </references>
      </pivotArea>
    </format>
    <format dxfId="1462">
      <pivotArea field="0" dataOnly="0" labelOnly="1" grandRow="1" outline="0" axis="axisRow" fieldPosition="0">
        <references count="1">
          <reference field="4294967294" count="1" selected="0">
            <x v="5"/>
          </reference>
        </references>
      </pivotArea>
    </format>
    <format dxfId="1463">
      <pivotArea field="0" dataOnly="0" labelOnly="1" grandRow="1" outline="0" axis="axisRow" fieldPosition="0">
        <references count="1">
          <reference field="4294967294" count="1" selected="0">
            <x v="6"/>
          </reference>
        </references>
      </pivotArea>
    </format>
    <format dxfId="1464">
      <pivotArea field="0" dataOnly="0" labelOnly="1" grandRow="1" outline="0" axis="axisRow" fieldPosition="0">
        <references count="1">
          <reference field="4294967294" count="1" selected="0">
            <x v="7"/>
          </reference>
        </references>
      </pivotArea>
    </format>
    <format dxfId="1465">
      <pivotArea field="0" dataOnly="0" labelOnly="1" grandRow="1" outline="0" axis="axisRow" fieldPosition="0">
        <references count="1">
          <reference field="4294967294" count="1" selected="0">
            <x v="8"/>
          </reference>
        </references>
      </pivotArea>
    </format>
    <format dxfId="1466">
      <pivotArea field="0" dataOnly="0" labelOnly="1" grandRow="1" outline="0" axis="axisRow" fieldPosition="0">
        <references count="1">
          <reference field="4294967294" count="1" selected="0">
            <x v="9"/>
          </reference>
        </references>
      </pivotArea>
    </format>
    <format dxfId="1467">
      <pivotArea field="0" dataOnly="0" labelOnly="1" grandRow="1" outline="0" axis="axisRow" fieldPosition="0">
        <references count="1">
          <reference field="4294967294" count="1" selected="0">
            <x v="10"/>
          </reference>
        </references>
      </pivotArea>
    </format>
    <format dxfId="1468">
      <pivotArea field="0" dataOnly="0" labelOnly="1" grandRow="1" outline="0" axis="axisRow" fieldPosition="0">
        <references count="1">
          <reference field="4294967294" count="1" selected="0">
            <x v="11"/>
          </reference>
        </references>
      </pivotArea>
    </format>
    <format dxfId="1469">
      <pivotArea field="0" dataOnly="0" labelOnly="1" grandRow="1" outline="0" axis="axisRow" fieldPosition="0">
        <references count="1">
          <reference field="4294967294" count="1" selected="0">
            <x v="12"/>
          </reference>
        </references>
      </pivotArea>
    </format>
    <format dxfId="1470">
      <pivotArea field="0" dataOnly="0" labelOnly="1" grandRow="1" outline="0" axis="axisRow" fieldPosition="0">
        <references count="1">
          <reference field="4294967294" count="1" selected="0">
            <x v="13"/>
          </reference>
        </references>
      </pivotArea>
    </format>
    <format dxfId="1471">
      <pivotArea field="0" dataOnly="0" labelOnly="1" grandRow="1" outline="0" axis="axisRow" fieldPosition="0">
        <references count="1">
          <reference field="4294967294" count="1" selected="0">
            <x v="14"/>
          </reference>
        </references>
      </pivotArea>
    </format>
    <format dxfId="1472">
      <pivotArea field="0" dataOnly="0" labelOnly="1" grandRow="1" outline="0" axis="axisRow" fieldPosition="0">
        <references count="1">
          <reference field="4294967294" count="1" selected="0">
            <x v="15"/>
          </reference>
        </references>
      </pivotArea>
    </format>
    <format dxfId="1473">
      <pivotArea field="0" dataOnly="0" labelOnly="1" grandRow="1" outline="0" axis="axisRow" fieldPosition="0">
        <references count="1">
          <reference field="4294967294" count="1" selected="0">
            <x v="16"/>
          </reference>
        </references>
      </pivotArea>
    </format>
    <format dxfId="1474">
      <pivotArea field="0" dataOnly="0" labelOnly="1" grandRow="1" outline="0" axis="axisRow" fieldPosition="0">
        <references count="1">
          <reference field="4294967294" count="1" selected="0">
            <x v="17"/>
          </reference>
        </references>
      </pivotArea>
    </format>
    <format dxfId="1475">
      <pivotArea field="0" dataOnly="0" labelOnly="1" grandRow="1" outline="0" axis="axisRow" fieldPosition="0">
        <references count="1">
          <reference field="4294967294" count="1" selected="0">
            <x v="18"/>
          </reference>
        </references>
      </pivotArea>
    </format>
    <format dxfId="1476">
      <pivotArea field="0" dataOnly="0" labelOnly="1" grandRow="1" outline="0" axis="axisRow" fieldPosition="0">
        <references count="1">
          <reference field="4294967294" count="1" selected="0">
            <x v="19"/>
          </reference>
        </references>
      </pivotArea>
    </format>
    <format dxfId="1477">
      <pivotArea field="0" dataOnly="0" labelOnly="1" grandRow="1" outline="0" axis="axisRow" fieldPosition="0">
        <references count="1">
          <reference field="4294967294" count="1" selected="0">
            <x v="20"/>
          </reference>
        </references>
      </pivotArea>
    </format>
    <format dxfId="1478">
      <pivotArea field="0" dataOnly="0" labelOnly="1" grandRow="1" outline="0" axis="axisRow" fieldPosition="0">
        <references count="1">
          <reference field="4294967294" count="1" selected="0">
            <x v="21"/>
          </reference>
        </references>
      </pivotArea>
    </format>
    <format dxfId="1479">
      <pivotArea field="0" dataOnly="0" labelOnly="1" grandRow="1" outline="0" axis="axisRow" fieldPosition="0">
        <references count="1">
          <reference field="4294967294" count="1" selected="0">
            <x v="22"/>
          </reference>
        </references>
      </pivotArea>
    </format>
    <format dxfId="1480">
      <pivotArea field="0" dataOnly="0" labelOnly="1" grandRow="1" outline="0" axis="axisRow" fieldPosition="0">
        <references count="1">
          <reference field="4294967294" count="1" selected="0">
            <x v="23"/>
          </reference>
        </references>
      </pivotArea>
    </format>
    <format dxfId="1481">
      <pivotArea field="0" dataOnly="0" labelOnly="1" grandRow="1" outline="0" axis="axisRow" fieldPosition="0">
        <references count="1">
          <reference field="4294967294" count="1" selected="0">
            <x v="24"/>
          </reference>
        </references>
      </pivotArea>
    </format>
    <format dxfId="1482">
      <pivotArea field="0" dataOnly="0" labelOnly="1" grandRow="1" outline="0" axis="axisRow" fieldPosition="0">
        <references count="1">
          <reference field="4294967294" count="1" selected="0">
            <x v="25"/>
          </reference>
        </references>
      </pivotArea>
    </format>
    <format dxfId="1483">
      <pivotArea field="0" dataOnly="0" labelOnly="1" grandRow="1" outline="0" axis="axisRow" fieldPosition="0">
        <references count="1">
          <reference field="4294967294" count="1" selected="0">
            <x v="26"/>
          </reference>
        </references>
      </pivotArea>
    </format>
    <format dxfId="1484">
      <pivotArea field="0" dataOnly="0" labelOnly="1" grandRow="1" outline="0" axis="axisRow" fieldPosition="0">
        <references count="1">
          <reference field="4294967294" count="1" selected="0">
            <x v="27"/>
          </reference>
        </references>
      </pivotArea>
    </format>
    <format dxfId="1485">
      <pivotArea field="0" dataOnly="0" labelOnly="1" grandRow="1" outline="0" axis="axisRow" fieldPosition="0">
        <references count="1">
          <reference field="4294967294" count="1" selected="0">
            <x v="28"/>
          </reference>
        </references>
      </pivotArea>
    </format>
    <format dxfId="1486">
      <pivotArea field="0" dataOnly="0" labelOnly="1" grandRow="1" outline="0" axis="axisRow" fieldPosition="0">
        <references count="1">
          <reference field="4294967294" count="1" selected="0">
            <x v="29"/>
          </reference>
        </references>
      </pivotArea>
    </format>
    <format dxfId="1487">
      <pivotArea field="0" dataOnly="0" labelOnly="1" grandRow="1" outline="0" axis="axisRow" fieldPosition="0">
        <references count="1">
          <reference field="4294967294" count="1" selected="0">
            <x v="30"/>
          </reference>
        </references>
      </pivotArea>
    </format>
    <format dxfId="1488">
      <pivotArea field="0" dataOnly="0" labelOnly="1" grandRow="1" outline="0" axis="axisRow" fieldPosition="0">
        <references count="1">
          <reference field="4294967294" count="1" selected="0">
            <x v="31"/>
          </reference>
        </references>
      </pivotArea>
    </format>
    <format dxfId="1489">
      <pivotArea field="0" dataOnly="0" labelOnly="1" grandRow="1" outline="0" axis="axisRow" fieldPosition="0">
        <references count="1">
          <reference field="4294967294" count="1" selected="0">
            <x v="32"/>
          </reference>
        </references>
      </pivotArea>
    </format>
    <format dxfId="1490">
      <pivotArea field="0" dataOnly="0" labelOnly="1" grandRow="1" outline="0" axis="axisRow" fieldPosition="0">
        <references count="1">
          <reference field="4294967294" count="1" selected="0">
            <x v="33"/>
          </reference>
        </references>
      </pivotArea>
    </format>
    <format dxfId="1491">
      <pivotArea field="0" dataOnly="0" labelOnly="1" grandRow="1" outline="0" axis="axisRow" fieldPosition="0">
        <references count="1">
          <reference field="4294967294" count="1" selected="0">
            <x v="34"/>
          </reference>
        </references>
      </pivotArea>
    </format>
    <format dxfId="1492">
      <pivotArea field="0" dataOnly="0" labelOnly="1" grandRow="1" outline="0" axis="axisRow" fieldPosition="0">
        <references count="1">
          <reference field="4294967294" count="1" selected="0">
            <x v="35"/>
          </reference>
        </references>
      </pivotArea>
    </format>
    <format dxfId="1493">
      <pivotArea field="0" dataOnly="0" labelOnly="1" grandRow="1" outline="0" axis="axisRow" fieldPosition="0">
        <references count="1">
          <reference field="4294967294" count="1" selected="0">
            <x v="0"/>
          </reference>
        </references>
      </pivotArea>
    </format>
    <format dxfId="1494">
      <pivotArea field="0" dataOnly="0" labelOnly="1" grandRow="1" outline="0" axis="axisRow" fieldPosition="0">
        <references count="1">
          <reference field="4294967294" count="1" selected="0">
            <x v="1"/>
          </reference>
        </references>
      </pivotArea>
    </format>
    <format dxfId="1495">
      <pivotArea field="0" dataOnly="0" labelOnly="1" grandRow="1" outline="0" axis="axisRow" fieldPosition="0">
        <references count="1">
          <reference field="4294967294" count="1" selected="0">
            <x v="2"/>
          </reference>
        </references>
      </pivotArea>
    </format>
    <format dxfId="1496">
      <pivotArea field="0" dataOnly="0" labelOnly="1" grandRow="1" outline="0" axis="axisRow" fieldPosition="0">
        <references count="1">
          <reference field="4294967294" count="1" selected="0">
            <x v="3"/>
          </reference>
        </references>
      </pivotArea>
    </format>
    <format dxfId="1497">
      <pivotArea field="0" dataOnly="0" labelOnly="1" grandRow="1" outline="0" axis="axisRow" fieldPosition="0">
        <references count="1">
          <reference field="4294967294" count="1" selected="0">
            <x v="4"/>
          </reference>
        </references>
      </pivotArea>
    </format>
    <format dxfId="1498">
      <pivotArea field="0" dataOnly="0" labelOnly="1" grandRow="1" outline="0" axis="axisRow" fieldPosition="0">
        <references count="1">
          <reference field="4294967294" count="1" selected="0">
            <x v="5"/>
          </reference>
        </references>
      </pivotArea>
    </format>
    <format dxfId="1499">
      <pivotArea field="0" dataOnly="0" labelOnly="1" grandRow="1" outline="0" axis="axisRow" fieldPosition="0">
        <references count="1">
          <reference field="4294967294" count="1" selected="0">
            <x v="6"/>
          </reference>
        </references>
      </pivotArea>
    </format>
    <format dxfId="1500">
      <pivotArea field="0" dataOnly="0" labelOnly="1" grandRow="1" outline="0" axis="axisRow" fieldPosition="0">
        <references count="1">
          <reference field="4294967294" count="1" selected="0">
            <x v="7"/>
          </reference>
        </references>
      </pivotArea>
    </format>
    <format dxfId="1501">
      <pivotArea field="0" dataOnly="0" labelOnly="1" grandRow="1" outline="0" axis="axisRow" fieldPosition="0">
        <references count="1">
          <reference field="4294967294" count="1" selected="0">
            <x v="8"/>
          </reference>
        </references>
      </pivotArea>
    </format>
    <format dxfId="1502">
      <pivotArea field="0" dataOnly="0" labelOnly="1" grandRow="1" outline="0" axis="axisRow" fieldPosition="0">
        <references count="1">
          <reference field="4294967294" count="1" selected="0">
            <x v="9"/>
          </reference>
        </references>
      </pivotArea>
    </format>
    <format dxfId="1503">
      <pivotArea field="0" dataOnly="0" labelOnly="1" grandRow="1" outline="0" axis="axisRow" fieldPosition="0">
        <references count="1">
          <reference field="4294967294" count="1" selected="0">
            <x v="10"/>
          </reference>
        </references>
      </pivotArea>
    </format>
    <format dxfId="1504">
      <pivotArea field="0" dataOnly="0" labelOnly="1" grandRow="1" outline="0" axis="axisRow" fieldPosition="0">
        <references count="1">
          <reference field="4294967294" count="1" selected="0">
            <x v="11"/>
          </reference>
        </references>
      </pivotArea>
    </format>
    <format dxfId="1505">
      <pivotArea field="0" dataOnly="0" labelOnly="1" grandRow="1" outline="0" axis="axisRow" fieldPosition="0">
        <references count="1">
          <reference field="4294967294" count="1" selected="0">
            <x v="12"/>
          </reference>
        </references>
      </pivotArea>
    </format>
    <format dxfId="1506">
      <pivotArea field="0" dataOnly="0" labelOnly="1" grandRow="1" outline="0" axis="axisRow" fieldPosition="0">
        <references count="1">
          <reference field="4294967294" count="1" selected="0">
            <x v="13"/>
          </reference>
        </references>
      </pivotArea>
    </format>
    <format dxfId="1507">
      <pivotArea field="0" dataOnly="0" labelOnly="1" grandRow="1" outline="0" axis="axisRow" fieldPosition="0">
        <references count="1">
          <reference field="4294967294" count="1" selected="0">
            <x v="14"/>
          </reference>
        </references>
      </pivotArea>
    </format>
    <format dxfId="1508">
      <pivotArea field="0" dataOnly="0" labelOnly="1" grandRow="1" outline="0" axis="axisRow" fieldPosition="0">
        <references count="1">
          <reference field="4294967294" count="1" selected="0">
            <x v="15"/>
          </reference>
        </references>
      </pivotArea>
    </format>
    <format dxfId="1509">
      <pivotArea field="0" dataOnly="0" labelOnly="1" grandRow="1" outline="0" axis="axisRow" fieldPosition="0">
        <references count="1">
          <reference field="4294967294" count="1" selected="0">
            <x v="16"/>
          </reference>
        </references>
      </pivotArea>
    </format>
    <format dxfId="1510">
      <pivotArea field="0" dataOnly="0" labelOnly="1" grandRow="1" outline="0" axis="axisRow" fieldPosition="0">
        <references count="1">
          <reference field="4294967294" count="1" selected="0">
            <x v="17"/>
          </reference>
        </references>
      </pivotArea>
    </format>
    <format dxfId="1511">
      <pivotArea field="0" dataOnly="0" labelOnly="1" grandRow="1" outline="0" axis="axisRow" fieldPosition="0">
        <references count="1">
          <reference field="4294967294" count="1" selected="0">
            <x v="18"/>
          </reference>
        </references>
      </pivotArea>
    </format>
    <format dxfId="1512">
      <pivotArea field="0" dataOnly="0" labelOnly="1" grandRow="1" outline="0" axis="axisRow" fieldPosition="0">
        <references count="1">
          <reference field="4294967294" count="1" selected="0">
            <x v="19"/>
          </reference>
        </references>
      </pivotArea>
    </format>
    <format dxfId="1513">
      <pivotArea field="0" dataOnly="0" labelOnly="1" grandRow="1" outline="0" axis="axisRow" fieldPosition="0">
        <references count="1">
          <reference field="4294967294" count="1" selected="0">
            <x v="20"/>
          </reference>
        </references>
      </pivotArea>
    </format>
    <format dxfId="1514">
      <pivotArea field="0" dataOnly="0" labelOnly="1" grandRow="1" outline="0" axis="axisRow" fieldPosition="0">
        <references count="1">
          <reference field="4294967294" count="1" selected="0">
            <x v="21"/>
          </reference>
        </references>
      </pivotArea>
    </format>
    <format dxfId="1515">
      <pivotArea field="0" dataOnly="0" labelOnly="1" grandRow="1" outline="0" axis="axisRow" fieldPosition="0">
        <references count="1">
          <reference field="4294967294" count="1" selected="0">
            <x v="22"/>
          </reference>
        </references>
      </pivotArea>
    </format>
    <format dxfId="1516">
      <pivotArea field="0" dataOnly="0" labelOnly="1" grandRow="1" outline="0" axis="axisRow" fieldPosition="0">
        <references count="1">
          <reference field="4294967294" count="1" selected="0">
            <x v="23"/>
          </reference>
        </references>
      </pivotArea>
    </format>
    <format dxfId="1517">
      <pivotArea field="0" dataOnly="0" labelOnly="1" grandRow="1" outline="0" axis="axisRow" fieldPosition="0">
        <references count="1">
          <reference field="4294967294" count="1" selected="0">
            <x v="24"/>
          </reference>
        </references>
      </pivotArea>
    </format>
    <format dxfId="1518">
      <pivotArea field="0" dataOnly="0" labelOnly="1" grandRow="1" outline="0" axis="axisRow" fieldPosition="0">
        <references count="1">
          <reference field="4294967294" count="1" selected="0">
            <x v="25"/>
          </reference>
        </references>
      </pivotArea>
    </format>
    <format dxfId="1519">
      <pivotArea field="0" dataOnly="0" labelOnly="1" grandRow="1" outline="0" axis="axisRow" fieldPosition="0">
        <references count="1">
          <reference field="4294967294" count="1" selected="0">
            <x v="26"/>
          </reference>
        </references>
      </pivotArea>
    </format>
    <format dxfId="1520">
      <pivotArea field="0" dataOnly="0" labelOnly="1" grandRow="1" outline="0" axis="axisRow" fieldPosition="0">
        <references count="1">
          <reference field="4294967294" count="1" selected="0">
            <x v="27"/>
          </reference>
        </references>
      </pivotArea>
    </format>
    <format dxfId="1521">
      <pivotArea field="0" dataOnly="0" labelOnly="1" grandRow="1" outline="0" axis="axisRow" fieldPosition="0">
        <references count="1">
          <reference field="4294967294" count="1" selected="0">
            <x v="28"/>
          </reference>
        </references>
      </pivotArea>
    </format>
    <format dxfId="1522">
      <pivotArea field="0" dataOnly="0" labelOnly="1" grandRow="1" outline="0" axis="axisRow" fieldPosition="0">
        <references count="1">
          <reference field="4294967294" count="1" selected="0">
            <x v="29"/>
          </reference>
        </references>
      </pivotArea>
    </format>
    <format dxfId="1523">
      <pivotArea field="0" dataOnly="0" labelOnly="1" grandRow="1" outline="0" axis="axisRow" fieldPosition="0">
        <references count="1">
          <reference field="4294967294" count="1" selected="0">
            <x v="30"/>
          </reference>
        </references>
      </pivotArea>
    </format>
    <format dxfId="1524">
      <pivotArea field="0" dataOnly="0" labelOnly="1" grandRow="1" outline="0" axis="axisRow" fieldPosition="0">
        <references count="1">
          <reference field="4294967294" count="1" selected="0">
            <x v="31"/>
          </reference>
        </references>
      </pivotArea>
    </format>
    <format dxfId="1525">
      <pivotArea field="0" dataOnly="0" labelOnly="1" grandRow="1" outline="0" axis="axisRow" fieldPosition="0">
        <references count="1">
          <reference field="4294967294" count="1" selected="0">
            <x v="32"/>
          </reference>
        </references>
      </pivotArea>
    </format>
    <format dxfId="1526">
      <pivotArea field="0" dataOnly="0" labelOnly="1" grandRow="1" outline="0" axis="axisRow" fieldPosition="0">
        <references count="1">
          <reference field="4294967294" count="1" selected="0">
            <x v="33"/>
          </reference>
        </references>
      </pivotArea>
    </format>
    <format dxfId="1527">
      <pivotArea field="0" dataOnly="0" labelOnly="1" grandRow="1" outline="0" axis="axisRow" fieldPosition="0">
        <references count="1">
          <reference field="4294967294" count="1" selected="0">
            <x v="34"/>
          </reference>
        </references>
      </pivotArea>
    </format>
    <format dxfId="1528">
      <pivotArea field="0" dataOnly="0" labelOnly="1" grandRow="1" outline="0" axis="axisRow" fieldPosition="0">
        <references count="1">
          <reference field="4294967294" count="1" selected="0">
            <x v="35"/>
          </reference>
        </references>
      </pivotArea>
    </format>
    <format dxfId="1529">
      <pivotArea field="0" dataOnly="0" labelOnly="1" grandRow="1" outline="0" axis="axisRow" fieldPosition="0">
        <references count="1">
          <reference field="4294967294" count="1" selected="0">
            <x v="0"/>
          </reference>
        </references>
      </pivotArea>
    </format>
    <format dxfId="1530">
      <pivotArea field="0" dataOnly="0" labelOnly="1" grandRow="1" outline="0" axis="axisRow" fieldPosition="0">
        <references count="1">
          <reference field="4294967294" count="1" selected="0">
            <x v="1"/>
          </reference>
        </references>
      </pivotArea>
    </format>
    <format dxfId="1531">
      <pivotArea field="0" dataOnly="0" labelOnly="1" grandRow="1" outline="0" axis="axisRow" fieldPosition="0">
        <references count="1">
          <reference field="4294967294" count="1" selected="0">
            <x v="2"/>
          </reference>
        </references>
      </pivotArea>
    </format>
    <format dxfId="1532">
      <pivotArea field="0" dataOnly="0" labelOnly="1" grandRow="1" outline="0" axis="axisRow" fieldPosition="0">
        <references count="1">
          <reference field="4294967294" count="1" selected="0">
            <x v="3"/>
          </reference>
        </references>
      </pivotArea>
    </format>
    <format dxfId="1533">
      <pivotArea field="0" dataOnly="0" labelOnly="1" grandRow="1" outline="0" axis="axisRow" fieldPosition="0">
        <references count="1">
          <reference field="4294967294" count="1" selected="0">
            <x v="4"/>
          </reference>
        </references>
      </pivotArea>
    </format>
    <format dxfId="1534">
      <pivotArea field="0" dataOnly="0" labelOnly="1" grandRow="1" outline="0" axis="axisRow" fieldPosition="0">
        <references count="1">
          <reference field="4294967294" count="1" selected="0">
            <x v="5"/>
          </reference>
        </references>
      </pivotArea>
    </format>
    <format dxfId="1535">
      <pivotArea field="0" dataOnly="0" labelOnly="1" grandRow="1" outline="0" axis="axisRow" fieldPosition="0">
        <references count="1">
          <reference field="4294967294" count="1" selected="0">
            <x v="6"/>
          </reference>
        </references>
      </pivotArea>
    </format>
    <format dxfId="1536">
      <pivotArea field="0" dataOnly="0" labelOnly="1" grandRow="1" outline="0" axis="axisRow" fieldPosition="0">
        <references count="1">
          <reference field="4294967294" count="1" selected="0">
            <x v="7"/>
          </reference>
        </references>
      </pivotArea>
    </format>
    <format dxfId="1537">
      <pivotArea field="0" dataOnly="0" labelOnly="1" grandRow="1" outline="0" axis="axisRow" fieldPosition="0">
        <references count="1">
          <reference field="4294967294" count="1" selected="0">
            <x v="8"/>
          </reference>
        </references>
      </pivotArea>
    </format>
    <format dxfId="1538">
      <pivotArea field="0" dataOnly="0" labelOnly="1" grandRow="1" outline="0" axis="axisRow" fieldPosition="0">
        <references count="1">
          <reference field="4294967294" count="1" selected="0">
            <x v="9"/>
          </reference>
        </references>
      </pivotArea>
    </format>
    <format dxfId="1539">
      <pivotArea field="0" dataOnly="0" labelOnly="1" grandRow="1" outline="0" axis="axisRow" fieldPosition="0">
        <references count="1">
          <reference field="4294967294" count="1" selected="0">
            <x v="10"/>
          </reference>
        </references>
      </pivotArea>
    </format>
    <format dxfId="1540">
      <pivotArea field="0" dataOnly="0" labelOnly="1" grandRow="1" outline="0" axis="axisRow" fieldPosition="0">
        <references count="1">
          <reference field="4294967294" count="1" selected="0">
            <x v="11"/>
          </reference>
        </references>
      </pivotArea>
    </format>
    <format dxfId="1541">
      <pivotArea field="0" dataOnly="0" labelOnly="1" grandRow="1" outline="0" axis="axisRow" fieldPosition="0">
        <references count="1">
          <reference field="4294967294" count="1" selected="0">
            <x v="12"/>
          </reference>
        </references>
      </pivotArea>
    </format>
    <format dxfId="1542">
      <pivotArea field="0" dataOnly="0" labelOnly="1" grandRow="1" outline="0" axis="axisRow" fieldPosition="0">
        <references count="1">
          <reference field="4294967294" count="1" selected="0">
            <x v="13"/>
          </reference>
        </references>
      </pivotArea>
    </format>
    <format dxfId="1543">
      <pivotArea field="0" dataOnly="0" labelOnly="1" grandRow="1" outline="0" axis="axisRow" fieldPosition="0">
        <references count="1">
          <reference field="4294967294" count="1" selected="0">
            <x v="14"/>
          </reference>
        </references>
      </pivotArea>
    </format>
    <format dxfId="1544">
      <pivotArea field="0" dataOnly="0" labelOnly="1" grandRow="1" outline="0" axis="axisRow" fieldPosition="0">
        <references count="1">
          <reference field="4294967294" count="1" selected="0">
            <x v="15"/>
          </reference>
        </references>
      </pivotArea>
    </format>
    <format dxfId="1545">
      <pivotArea field="0" dataOnly="0" labelOnly="1" grandRow="1" outline="0" axis="axisRow" fieldPosition="0">
        <references count="1">
          <reference field="4294967294" count="1" selected="0">
            <x v="16"/>
          </reference>
        </references>
      </pivotArea>
    </format>
    <format dxfId="1546">
      <pivotArea field="0" dataOnly="0" labelOnly="1" grandRow="1" outline="0" axis="axisRow" fieldPosition="0">
        <references count="1">
          <reference field="4294967294" count="1" selected="0">
            <x v="17"/>
          </reference>
        </references>
      </pivotArea>
    </format>
    <format dxfId="1547">
      <pivotArea field="0" dataOnly="0" labelOnly="1" grandRow="1" outline="0" axis="axisRow" fieldPosition="0">
        <references count="1">
          <reference field="4294967294" count="1" selected="0">
            <x v="18"/>
          </reference>
        </references>
      </pivotArea>
    </format>
    <format dxfId="1548">
      <pivotArea field="0" dataOnly="0" labelOnly="1" grandRow="1" outline="0" axis="axisRow" fieldPosition="0">
        <references count="1">
          <reference field="4294967294" count="1" selected="0">
            <x v="19"/>
          </reference>
        </references>
      </pivotArea>
    </format>
    <format dxfId="1549">
      <pivotArea field="0" dataOnly="0" labelOnly="1" grandRow="1" outline="0" axis="axisRow" fieldPosition="0">
        <references count="1">
          <reference field="4294967294" count="1" selected="0">
            <x v="20"/>
          </reference>
        </references>
      </pivotArea>
    </format>
    <format dxfId="1550">
      <pivotArea field="0" dataOnly="0" labelOnly="1" grandRow="1" outline="0" axis="axisRow" fieldPosition="0">
        <references count="1">
          <reference field="4294967294" count="1" selected="0">
            <x v="21"/>
          </reference>
        </references>
      </pivotArea>
    </format>
    <format dxfId="1551">
      <pivotArea field="0" dataOnly="0" labelOnly="1" grandRow="1" outline="0" axis="axisRow" fieldPosition="0">
        <references count="1">
          <reference field="4294967294" count="1" selected="0">
            <x v="22"/>
          </reference>
        </references>
      </pivotArea>
    </format>
    <format dxfId="1552">
      <pivotArea field="0" dataOnly="0" labelOnly="1" grandRow="1" outline="0" axis="axisRow" fieldPosition="0">
        <references count="1">
          <reference field="4294967294" count="1" selected="0">
            <x v="23"/>
          </reference>
        </references>
      </pivotArea>
    </format>
    <format dxfId="1553">
      <pivotArea field="0" dataOnly="0" labelOnly="1" grandRow="1" outline="0" axis="axisRow" fieldPosition="0">
        <references count="1">
          <reference field="4294967294" count="1" selected="0">
            <x v="24"/>
          </reference>
        </references>
      </pivotArea>
    </format>
    <format dxfId="1554">
      <pivotArea field="0" dataOnly="0" labelOnly="1" grandRow="1" outline="0" axis="axisRow" fieldPosition="0">
        <references count="1">
          <reference field="4294967294" count="1" selected="0">
            <x v="25"/>
          </reference>
        </references>
      </pivotArea>
    </format>
    <format dxfId="1555">
      <pivotArea field="0" dataOnly="0" labelOnly="1" grandRow="1" outline="0" axis="axisRow" fieldPosition="0">
        <references count="1">
          <reference field="4294967294" count="1" selected="0">
            <x v="26"/>
          </reference>
        </references>
      </pivotArea>
    </format>
    <format dxfId="1556">
      <pivotArea field="0" dataOnly="0" labelOnly="1" grandRow="1" outline="0" axis="axisRow" fieldPosition="0">
        <references count="1">
          <reference field="4294967294" count="1" selected="0">
            <x v="27"/>
          </reference>
        </references>
      </pivotArea>
    </format>
    <format dxfId="1557">
      <pivotArea field="0" dataOnly="0" labelOnly="1" grandRow="1" outline="0" axis="axisRow" fieldPosition="0">
        <references count="1">
          <reference field="4294967294" count="1" selected="0">
            <x v="28"/>
          </reference>
        </references>
      </pivotArea>
    </format>
    <format dxfId="1558">
      <pivotArea field="0" dataOnly="0" labelOnly="1" grandRow="1" outline="0" axis="axisRow" fieldPosition="0">
        <references count="1">
          <reference field="4294967294" count="1" selected="0">
            <x v="29"/>
          </reference>
        </references>
      </pivotArea>
    </format>
    <format dxfId="1559">
      <pivotArea field="0" dataOnly="0" labelOnly="1" grandRow="1" outline="0" axis="axisRow" fieldPosition="0">
        <references count="1">
          <reference field="4294967294" count="1" selected="0">
            <x v="30"/>
          </reference>
        </references>
      </pivotArea>
    </format>
    <format dxfId="1560">
      <pivotArea field="0" dataOnly="0" labelOnly="1" grandRow="1" outline="0" axis="axisRow" fieldPosition="0">
        <references count="1">
          <reference field="4294967294" count="1" selected="0">
            <x v="31"/>
          </reference>
        </references>
      </pivotArea>
    </format>
    <format dxfId="1561">
      <pivotArea field="0" dataOnly="0" labelOnly="1" grandRow="1" outline="0" axis="axisRow" fieldPosition="0">
        <references count="1">
          <reference field="4294967294" count="1" selected="0">
            <x v="32"/>
          </reference>
        </references>
      </pivotArea>
    </format>
    <format dxfId="1562">
      <pivotArea field="0" dataOnly="0" labelOnly="1" grandRow="1" outline="0" axis="axisRow" fieldPosition="0">
        <references count="1">
          <reference field="4294967294" count="1" selected="0">
            <x v="33"/>
          </reference>
        </references>
      </pivotArea>
    </format>
    <format dxfId="1563">
      <pivotArea field="0" dataOnly="0" labelOnly="1" grandRow="1" outline="0" axis="axisRow" fieldPosition="0">
        <references count="1">
          <reference field="4294967294" count="1" selected="0">
            <x v="34"/>
          </reference>
        </references>
      </pivotArea>
    </format>
    <format dxfId="1564">
      <pivotArea field="0" dataOnly="0" labelOnly="1" grandRow="1" outline="0" axis="axisRow" fieldPosition="0">
        <references count="1">
          <reference field="4294967294" count="1" selected="0">
            <x v="35"/>
          </reference>
        </references>
      </pivotArea>
    </format>
    <format dxfId="1565">
      <pivotArea field="0" dataOnly="0" labelOnly="1" grandRow="1" outline="0" axis="axisRow" fieldPosition="0">
        <references count="1">
          <reference field="4294967294" count="1" selected="0">
            <x v="0"/>
          </reference>
        </references>
      </pivotArea>
    </format>
    <format dxfId="1566">
      <pivotArea field="0" dataOnly="0" labelOnly="1" grandRow="1" outline="0" axis="axisRow" fieldPosition="0">
        <references count="1">
          <reference field="4294967294" count="1" selected="0">
            <x v="1"/>
          </reference>
        </references>
      </pivotArea>
    </format>
    <format dxfId="1567">
      <pivotArea field="0" dataOnly="0" labelOnly="1" grandRow="1" outline="0" axis="axisRow" fieldPosition="0">
        <references count="1">
          <reference field="4294967294" count="1" selected="0">
            <x v="2"/>
          </reference>
        </references>
      </pivotArea>
    </format>
    <format dxfId="1568">
      <pivotArea field="0" dataOnly="0" labelOnly="1" grandRow="1" outline="0" axis="axisRow" fieldPosition="0">
        <references count="1">
          <reference field="4294967294" count="1" selected="0">
            <x v="3"/>
          </reference>
        </references>
      </pivotArea>
    </format>
    <format dxfId="1569">
      <pivotArea field="0" dataOnly="0" labelOnly="1" grandRow="1" outline="0" axis="axisRow" fieldPosition="0">
        <references count="1">
          <reference field="4294967294" count="1" selected="0">
            <x v="4"/>
          </reference>
        </references>
      </pivotArea>
    </format>
    <format dxfId="1570">
      <pivotArea field="0" dataOnly="0" labelOnly="1" grandRow="1" outline="0" axis="axisRow" fieldPosition="0">
        <references count="1">
          <reference field="4294967294" count="1" selected="0">
            <x v="5"/>
          </reference>
        </references>
      </pivotArea>
    </format>
    <format dxfId="1571">
      <pivotArea field="0" dataOnly="0" labelOnly="1" grandRow="1" outline="0" axis="axisRow" fieldPosition="0">
        <references count="1">
          <reference field="4294967294" count="1" selected="0">
            <x v="6"/>
          </reference>
        </references>
      </pivotArea>
    </format>
    <format dxfId="1572">
      <pivotArea field="0" dataOnly="0" labelOnly="1" grandRow="1" outline="0" axis="axisRow" fieldPosition="0">
        <references count="1">
          <reference field="4294967294" count="1" selected="0">
            <x v="7"/>
          </reference>
        </references>
      </pivotArea>
    </format>
    <format dxfId="1573">
      <pivotArea field="0" dataOnly="0" labelOnly="1" grandRow="1" outline="0" axis="axisRow" fieldPosition="0">
        <references count="1">
          <reference field="4294967294" count="1" selected="0">
            <x v="8"/>
          </reference>
        </references>
      </pivotArea>
    </format>
    <format dxfId="1574">
      <pivotArea field="0" dataOnly="0" labelOnly="1" grandRow="1" outline="0" axis="axisRow" fieldPosition="0">
        <references count="1">
          <reference field="4294967294" count="1" selected="0">
            <x v="9"/>
          </reference>
        </references>
      </pivotArea>
    </format>
    <format dxfId="1575">
      <pivotArea field="0" dataOnly="0" labelOnly="1" grandRow="1" outline="0" axis="axisRow" fieldPosition="0">
        <references count="1">
          <reference field="4294967294" count="1" selected="0">
            <x v="10"/>
          </reference>
        </references>
      </pivotArea>
    </format>
    <format dxfId="1576">
      <pivotArea field="0" dataOnly="0" labelOnly="1" grandRow="1" outline="0" axis="axisRow" fieldPosition="0">
        <references count="1">
          <reference field="4294967294" count="1" selected="0">
            <x v="11"/>
          </reference>
        </references>
      </pivotArea>
    </format>
    <format dxfId="1577">
      <pivotArea field="0" dataOnly="0" labelOnly="1" grandRow="1" outline="0" axis="axisRow" fieldPosition="0">
        <references count="1">
          <reference field="4294967294" count="1" selected="0">
            <x v="12"/>
          </reference>
        </references>
      </pivotArea>
    </format>
    <format dxfId="1578">
      <pivotArea field="0" dataOnly="0" labelOnly="1" grandRow="1" outline="0" axis="axisRow" fieldPosition="0">
        <references count="1">
          <reference field="4294967294" count="1" selected="0">
            <x v="13"/>
          </reference>
        </references>
      </pivotArea>
    </format>
    <format dxfId="1579">
      <pivotArea field="0" dataOnly="0" labelOnly="1" grandRow="1" outline="0" axis="axisRow" fieldPosition="0">
        <references count="1">
          <reference field="4294967294" count="1" selected="0">
            <x v="14"/>
          </reference>
        </references>
      </pivotArea>
    </format>
    <format dxfId="1580">
      <pivotArea field="0" dataOnly="0" labelOnly="1" grandRow="1" outline="0" axis="axisRow" fieldPosition="0">
        <references count="1">
          <reference field="4294967294" count="1" selected="0">
            <x v="15"/>
          </reference>
        </references>
      </pivotArea>
    </format>
    <format dxfId="1581">
      <pivotArea field="0" dataOnly="0" labelOnly="1" grandRow="1" outline="0" axis="axisRow" fieldPosition="0">
        <references count="1">
          <reference field="4294967294" count="1" selected="0">
            <x v="16"/>
          </reference>
        </references>
      </pivotArea>
    </format>
    <format dxfId="1582">
      <pivotArea field="0" dataOnly="0" labelOnly="1" grandRow="1" outline="0" axis="axisRow" fieldPosition="0">
        <references count="1">
          <reference field="4294967294" count="1" selected="0">
            <x v="17"/>
          </reference>
        </references>
      </pivotArea>
    </format>
    <format dxfId="1583">
      <pivotArea field="0" dataOnly="0" labelOnly="1" grandRow="1" outline="0" axis="axisRow" fieldPosition="0">
        <references count="1">
          <reference field="4294967294" count="1" selected="0">
            <x v="18"/>
          </reference>
        </references>
      </pivotArea>
    </format>
    <format dxfId="1584">
      <pivotArea field="0" dataOnly="0" labelOnly="1" grandRow="1" outline="0" axis="axisRow" fieldPosition="0">
        <references count="1">
          <reference field="4294967294" count="1" selected="0">
            <x v="19"/>
          </reference>
        </references>
      </pivotArea>
    </format>
    <format dxfId="1585">
      <pivotArea field="0" dataOnly="0" labelOnly="1" grandRow="1" outline="0" axis="axisRow" fieldPosition="0">
        <references count="1">
          <reference field="4294967294" count="1" selected="0">
            <x v="20"/>
          </reference>
        </references>
      </pivotArea>
    </format>
    <format dxfId="1586">
      <pivotArea field="0" dataOnly="0" labelOnly="1" grandRow="1" outline="0" axis="axisRow" fieldPosition="0">
        <references count="1">
          <reference field="4294967294" count="1" selected="0">
            <x v="21"/>
          </reference>
        </references>
      </pivotArea>
    </format>
    <format dxfId="1587">
      <pivotArea field="0" dataOnly="0" labelOnly="1" grandRow="1" outline="0" axis="axisRow" fieldPosition="0">
        <references count="1">
          <reference field="4294967294" count="1" selected="0">
            <x v="22"/>
          </reference>
        </references>
      </pivotArea>
    </format>
    <format dxfId="1588">
      <pivotArea field="0" dataOnly="0" labelOnly="1" grandRow="1" outline="0" axis="axisRow" fieldPosition="0">
        <references count="1">
          <reference field="4294967294" count="1" selected="0">
            <x v="23"/>
          </reference>
        </references>
      </pivotArea>
    </format>
    <format dxfId="1589">
      <pivotArea field="0" dataOnly="0" labelOnly="1" grandRow="1" outline="0" axis="axisRow" fieldPosition="0">
        <references count="1">
          <reference field="4294967294" count="1" selected="0">
            <x v="24"/>
          </reference>
        </references>
      </pivotArea>
    </format>
    <format dxfId="1590">
      <pivotArea field="0" dataOnly="0" labelOnly="1" grandRow="1" outline="0" axis="axisRow" fieldPosition="0">
        <references count="1">
          <reference field="4294967294" count="1" selected="0">
            <x v="25"/>
          </reference>
        </references>
      </pivotArea>
    </format>
    <format dxfId="1591">
      <pivotArea field="0" dataOnly="0" labelOnly="1" grandRow="1" outline="0" axis="axisRow" fieldPosition="0">
        <references count="1">
          <reference field="4294967294" count="1" selected="0">
            <x v="26"/>
          </reference>
        </references>
      </pivotArea>
    </format>
    <format dxfId="1592">
      <pivotArea field="0" dataOnly="0" labelOnly="1" grandRow="1" outline="0" axis="axisRow" fieldPosition="0">
        <references count="1">
          <reference field="4294967294" count="1" selected="0">
            <x v="27"/>
          </reference>
        </references>
      </pivotArea>
    </format>
    <format dxfId="1593">
      <pivotArea field="0" dataOnly="0" labelOnly="1" grandRow="1" outline="0" axis="axisRow" fieldPosition="0">
        <references count="1">
          <reference field="4294967294" count="1" selected="0">
            <x v="28"/>
          </reference>
        </references>
      </pivotArea>
    </format>
    <format dxfId="1594">
      <pivotArea field="0" dataOnly="0" labelOnly="1" grandRow="1" outline="0" axis="axisRow" fieldPosition="0">
        <references count="1">
          <reference field="4294967294" count="1" selected="0">
            <x v="29"/>
          </reference>
        </references>
      </pivotArea>
    </format>
    <format dxfId="1595">
      <pivotArea field="0" dataOnly="0" labelOnly="1" grandRow="1" outline="0" axis="axisRow" fieldPosition="0">
        <references count="1">
          <reference field="4294967294" count="1" selected="0">
            <x v="30"/>
          </reference>
        </references>
      </pivotArea>
    </format>
    <format dxfId="1596">
      <pivotArea field="0" dataOnly="0" labelOnly="1" grandRow="1" outline="0" axis="axisRow" fieldPosition="0">
        <references count="1">
          <reference field="4294967294" count="1" selected="0">
            <x v="31"/>
          </reference>
        </references>
      </pivotArea>
    </format>
    <format dxfId="1597">
      <pivotArea field="0" dataOnly="0" labelOnly="1" grandRow="1" outline="0" axis="axisRow" fieldPosition="0">
        <references count="1">
          <reference field="4294967294" count="1" selected="0">
            <x v="32"/>
          </reference>
        </references>
      </pivotArea>
    </format>
    <format dxfId="1598">
      <pivotArea field="0" dataOnly="0" labelOnly="1" grandRow="1" outline="0" axis="axisRow" fieldPosition="0">
        <references count="1">
          <reference field="4294967294" count="1" selected="0">
            <x v="33"/>
          </reference>
        </references>
      </pivotArea>
    </format>
    <format dxfId="1599">
      <pivotArea field="0" dataOnly="0" labelOnly="1" grandRow="1" outline="0" axis="axisRow" fieldPosition="0">
        <references count="1">
          <reference field="4294967294" count="1" selected="0">
            <x v="34"/>
          </reference>
        </references>
      </pivotArea>
    </format>
    <format dxfId="1600">
      <pivotArea field="0" dataOnly="0" labelOnly="1" grandRow="1" outline="0" axis="axisRow" fieldPosition="0">
        <references count="1">
          <reference field="4294967294" count="1" selected="0">
            <x v="35"/>
          </reference>
        </references>
      </pivotArea>
    </format>
    <format dxfId="1601">
      <pivotArea field="0" dataOnly="0" labelOnly="1" grandRow="1" outline="0" axis="axisRow" fieldPosition="0">
        <references count="1">
          <reference field="4294967294" count="1" selected="0">
            <x v="0"/>
          </reference>
        </references>
      </pivotArea>
    </format>
    <format dxfId="1602">
      <pivotArea field="0" dataOnly="0" labelOnly="1" grandRow="1" outline="0" axis="axisRow" fieldPosition="0">
        <references count="1">
          <reference field="4294967294" count="1" selected="0">
            <x v="1"/>
          </reference>
        </references>
      </pivotArea>
    </format>
    <format dxfId="1603">
      <pivotArea field="0" dataOnly="0" labelOnly="1" grandRow="1" outline="0" axis="axisRow" fieldPosition="0">
        <references count="1">
          <reference field="4294967294" count="1" selected="0">
            <x v="2"/>
          </reference>
        </references>
      </pivotArea>
    </format>
    <format dxfId="1604">
      <pivotArea field="0" dataOnly="0" labelOnly="1" grandRow="1" outline="0" axis="axisRow" fieldPosition="0">
        <references count="1">
          <reference field="4294967294" count="1" selected="0">
            <x v="3"/>
          </reference>
        </references>
      </pivotArea>
    </format>
    <format dxfId="1605">
      <pivotArea field="0" dataOnly="0" labelOnly="1" grandRow="1" outline="0" axis="axisRow" fieldPosition="0">
        <references count="1">
          <reference field="4294967294" count="1" selected="0">
            <x v="4"/>
          </reference>
        </references>
      </pivotArea>
    </format>
    <format dxfId="1606">
      <pivotArea field="0" dataOnly="0" labelOnly="1" grandRow="1" outline="0" axis="axisRow" fieldPosition="0">
        <references count="1">
          <reference field="4294967294" count="1" selected="0">
            <x v="5"/>
          </reference>
        </references>
      </pivotArea>
    </format>
    <format dxfId="1607">
      <pivotArea field="0" dataOnly="0" labelOnly="1" grandRow="1" outline="0" axis="axisRow" fieldPosition="0">
        <references count="1">
          <reference field="4294967294" count="1" selected="0">
            <x v="6"/>
          </reference>
        </references>
      </pivotArea>
    </format>
    <format dxfId="1608">
      <pivotArea field="0" dataOnly="0" labelOnly="1" grandRow="1" outline="0" axis="axisRow" fieldPosition="0">
        <references count="1">
          <reference field="4294967294" count="1" selected="0">
            <x v="7"/>
          </reference>
        </references>
      </pivotArea>
    </format>
    <format dxfId="1609">
      <pivotArea field="0" dataOnly="0" labelOnly="1" grandRow="1" outline="0" axis="axisRow" fieldPosition="0">
        <references count="1">
          <reference field="4294967294" count="1" selected="0">
            <x v="8"/>
          </reference>
        </references>
      </pivotArea>
    </format>
    <format dxfId="1610">
      <pivotArea field="0" dataOnly="0" labelOnly="1" grandRow="1" outline="0" axis="axisRow" fieldPosition="0">
        <references count="1">
          <reference field="4294967294" count="1" selected="0">
            <x v="9"/>
          </reference>
        </references>
      </pivotArea>
    </format>
    <format dxfId="1611">
      <pivotArea field="0" dataOnly="0" labelOnly="1" grandRow="1" outline="0" axis="axisRow" fieldPosition="0">
        <references count="1">
          <reference field="4294967294" count="1" selected="0">
            <x v="10"/>
          </reference>
        </references>
      </pivotArea>
    </format>
    <format dxfId="1612">
      <pivotArea field="0" dataOnly="0" labelOnly="1" grandRow="1" outline="0" axis="axisRow" fieldPosition="0">
        <references count="1">
          <reference field="4294967294" count="1" selected="0">
            <x v="11"/>
          </reference>
        </references>
      </pivotArea>
    </format>
    <format dxfId="1613">
      <pivotArea field="0" dataOnly="0" labelOnly="1" grandRow="1" outline="0" axis="axisRow" fieldPosition="0">
        <references count="1">
          <reference field="4294967294" count="1" selected="0">
            <x v="12"/>
          </reference>
        </references>
      </pivotArea>
    </format>
    <format dxfId="1614">
      <pivotArea field="0" dataOnly="0" labelOnly="1" grandRow="1" outline="0" axis="axisRow" fieldPosition="0">
        <references count="1">
          <reference field="4294967294" count="1" selected="0">
            <x v="13"/>
          </reference>
        </references>
      </pivotArea>
    </format>
    <format dxfId="1615">
      <pivotArea field="0" dataOnly="0" labelOnly="1" grandRow="1" outline="0" axis="axisRow" fieldPosition="0">
        <references count="1">
          <reference field="4294967294" count="1" selected="0">
            <x v="14"/>
          </reference>
        </references>
      </pivotArea>
    </format>
    <format dxfId="1616">
      <pivotArea field="0" dataOnly="0" labelOnly="1" grandRow="1" outline="0" axis="axisRow" fieldPosition="0">
        <references count="1">
          <reference field="4294967294" count="1" selected="0">
            <x v="15"/>
          </reference>
        </references>
      </pivotArea>
    </format>
    <format dxfId="1617">
      <pivotArea field="0" dataOnly="0" labelOnly="1" grandRow="1" outline="0" axis="axisRow" fieldPosition="0">
        <references count="1">
          <reference field="4294967294" count="1" selected="0">
            <x v="16"/>
          </reference>
        </references>
      </pivotArea>
    </format>
    <format dxfId="1618">
      <pivotArea field="0" dataOnly="0" labelOnly="1" grandRow="1" outline="0" axis="axisRow" fieldPosition="0">
        <references count="1">
          <reference field="4294967294" count="1" selected="0">
            <x v="17"/>
          </reference>
        </references>
      </pivotArea>
    </format>
    <format dxfId="1619">
      <pivotArea field="0" dataOnly="0" labelOnly="1" grandRow="1" outline="0" axis="axisRow" fieldPosition="0">
        <references count="1">
          <reference field="4294967294" count="1" selected="0">
            <x v="18"/>
          </reference>
        </references>
      </pivotArea>
    </format>
    <format dxfId="1620">
      <pivotArea field="0" dataOnly="0" labelOnly="1" grandRow="1" outline="0" axis="axisRow" fieldPosition="0">
        <references count="1">
          <reference field="4294967294" count="1" selected="0">
            <x v="19"/>
          </reference>
        </references>
      </pivotArea>
    </format>
    <format dxfId="1621">
      <pivotArea field="0" dataOnly="0" labelOnly="1" grandRow="1" outline="0" axis="axisRow" fieldPosition="0">
        <references count="1">
          <reference field="4294967294" count="1" selected="0">
            <x v="20"/>
          </reference>
        </references>
      </pivotArea>
    </format>
    <format dxfId="1622">
      <pivotArea field="0" dataOnly="0" labelOnly="1" grandRow="1" outline="0" axis="axisRow" fieldPosition="0">
        <references count="1">
          <reference field="4294967294" count="1" selected="0">
            <x v="21"/>
          </reference>
        </references>
      </pivotArea>
    </format>
    <format dxfId="1623">
      <pivotArea field="0" dataOnly="0" labelOnly="1" grandRow="1" outline="0" axis="axisRow" fieldPosition="0">
        <references count="1">
          <reference field="4294967294" count="1" selected="0">
            <x v="22"/>
          </reference>
        </references>
      </pivotArea>
    </format>
    <format dxfId="1624">
      <pivotArea field="0" dataOnly="0" labelOnly="1" grandRow="1" outline="0" axis="axisRow" fieldPosition="0">
        <references count="1">
          <reference field="4294967294" count="1" selected="0">
            <x v="23"/>
          </reference>
        </references>
      </pivotArea>
    </format>
    <format dxfId="1625">
      <pivotArea field="0" dataOnly="0" labelOnly="1" grandRow="1" outline="0" axis="axisRow" fieldPosition="0">
        <references count="1">
          <reference field="4294967294" count="1" selected="0">
            <x v="24"/>
          </reference>
        </references>
      </pivotArea>
    </format>
    <format dxfId="1626">
      <pivotArea field="0" dataOnly="0" labelOnly="1" grandRow="1" outline="0" axis="axisRow" fieldPosition="0">
        <references count="1">
          <reference field="4294967294" count="1" selected="0">
            <x v="25"/>
          </reference>
        </references>
      </pivotArea>
    </format>
    <format dxfId="1627">
      <pivotArea field="0" dataOnly="0" labelOnly="1" grandRow="1" outline="0" axis="axisRow" fieldPosition="0">
        <references count="1">
          <reference field="4294967294" count="1" selected="0">
            <x v="26"/>
          </reference>
        </references>
      </pivotArea>
    </format>
    <format dxfId="1628">
      <pivotArea field="0" dataOnly="0" labelOnly="1" grandRow="1" outline="0" axis="axisRow" fieldPosition="0">
        <references count="1">
          <reference field="4294967294" count="1" selected="0">
            <x v="27"/>
          </reference>
        </references>
      </pivotArea>
    </format>
    <format dxfId="1629">
      <pivotArea field="0" dataOnly="0" labelOnly="1" grandRow="1" outline="0" axis="axisRow" fieldPosition="0">
        <references count="1">
          <reference field="4294967294" count="1" selected="0">
            <x v="28"/>
          </reference>
        </references>
      </pivotArea>
    </format>
    <format dxfId="1630">
      <pivotArea field="0" dataOnly="0" labelOnly="1" grandRow="1" outline="0" axis="axisRow" fieldPosition="0">
        <references count="1">
          <reference field="4294967294" count="1" selected="0">
            <x v="29"/>
          </reference>
        </references>
      </pivotArea>
    </format>
    <format dxfId="1631">
      <pivotArea field="0" dataOnly="0" labelOnly="1" grandRow="1" outline="0" axis="axisRow" fieldPosition="0">
        <references count="1">
          <reference field="4294967294" count="1" selected="0">
            <x v="30"/>
          </reference>
        </references>
      </pivotArea>
    </format>
    <format dxfId="1632">
      <pivotArea field="0" dataOnly="0" labelOnly="1" grandRow="1" outline="0" axis="axisRow" fieldPosition="0">
        <references count="1">
          <reference field="4294967294" count="1" selected="0">
            <x v="31"/>
          </reference>
        </references>
      </pivotArea>
    </format>
    <format dxfId="1633">
      <pivotArea field="0" dataOnly="0" labelOnly="1" grandRow="1" outline="0" axis="axisRow" fieldPosition="0">
        <references count="1">
          <reference field="4294967294" count="1" selected="0">
            <x v="32"/>
          </reference>
        </references>
      </pivotArea>
    </format>
    <format dxfId="1634">
      <pivotArea field="0" dataOnly="0" labelOnly="1" grandRow="1" outline="0" axis="axisRow" fieldPosition="0">
        <references count="1">
          <reference field="4294967294" count="1" selected="0">
            <x v="33"/>
          </reference>
        </references>
      </pivotArea>
    </format>
    <format dxfId="1635">
      <pivotArea field="0" dataOnly="0" labelOnly="1" grandRow="1" outline="0" axis="axisRow" fieldPosition="0">
        <references count="1">
          <reference field="4294967294" count="1" selected="0">
            <x v="34"/>
          </reference>
        </references>
      </pivotArea>
    </format>
    <format dxfId="1636">
      <pivotArea field="0" dataOnly="0" labelOnly="1" grandRow="1" outline="0" axis="axisRow" fieldPosition="0">
        <references count="1">
          <reference field="4294967294" count="1" selected="0">
            <x v="35"/>
          </reference>
        </references>
      </pivotArea>
    </format>
    <format dxfId="1637">
      <pivotArea field="0" dataOnly="0" labelOnly="1" grandRow="1" outline="0" axis="axisRow" fieldPosition="0">
        <references count="1">
          <reference field="4294967294" count="1" selected="0">
            <x v="0"/>
          </reference>
        </references>
      </pivotArea>
    </format>
    <format dxfId="1638">
      <pivotArea field="0" dataOnly="0" labelOnly="1" grandRow="1" outline="0" axis="axisRow" fieldPosition="0">
        <references count="1">
          <reference field="4294967294" count="1" selected="0">
            <x v="1"/>
          </reference>
        </references>
      </pivotArea>
    </format>
    <format dxfId="1639">
      <pivotArea field="0" dataOnly="0" labelOnly="1" grandRow="1" outline="0" axis="axisRow" fieldPosition="0">
        <references count="1">
          <reference field="4294967294" count="1" selected="0">
            <x v="2"/>
          </reference>
        </references>
      </pivotArea>
    </format>
    <format dxfId="1640">
      <pivotArea field="0" dataOnly="0" labelOnly="1" grandRow="1" outline="0" axis="axisRow" fieldPosition="0">
        <references count="1">
          <reference field="4294967294" count="1" selected="0">
            <x v="3"/>
          </reference>
        </references>
      </pivotArea>
    </format>
    <format dxfId="1641">
      <pivotArea field="0" dataOnly="0" labelOnly="1" grandRow="1" outline="0" axis="axisRow" fieldPosition="0">
        <references count="1">
          <reference field="4294967294" count="1" selected="0">
            <x v="4"/>
          </reference>
        </references>
      </pivotArea>
    </format>
    <format dxfId="1642">
      <pivotArea field="0" dataOnly="0" labelOnly="1" grandRow="1" outline="0" axis="axisRow" fieldPosition="0">
        <references count="1">
          <reference field="4294967294" count="1" selected="0">
            <x v="5"/>
          </reference>
        </references>
      </pivotArea>
    </format>
    <format dxfId="1643">
      <pivotArea field="0" dataOnly="0" labelOnly="1" grandRow="1" outline="0" axis="axisRow" fieldPosition="0">
        <references count="1">
          <reference field="4294967294" count="1" selected="0">
            <x v="6"/>
          </reference>
        </references>
      </pivotArea>
    </format>
    <format dxfId="1644">
      <pivotArea field="0" dataOnly="0" labelOnly="1" grandRow="1" outline="0" axis="axisRow" fieldPosition="0">
        <references count="1">
          <reference field="4294967294" count="1" selected="0">
            <x v="7"/>
          </reference>
        </references>
      </pivotArea>
    </format>
    <format dxfId="1645">
      <pivotArea field="0" dataOnly="0" labelOnly="1" grandRow="1" outline="0" axis="axisRow" fieldPosition="0">
        <references count="1">
          <reference field="4294967294" count="1" selected="0">
            <x v="8"/>
          </reference>
        </references>
      </pivotArea>
    </format>
    <format dxfId="1646">
      <pivotArea field="0" dataOnly="0" labelOnly="1" grandRow="1" outline="0" axis="axisRow" fieldPosition="0">
        <references count="1">
          <reference field="4294967294" count="1" selected="0">
            <x v="9"/>
          </reference>
        </references>
      </pivotArea>
    </format>
    <format dxfId="1647">
      <pivotArea field="0" dataOnly="0" labelOnly="1" grandRow="1" outline="0" axis="axisRow" fieldPosition="0">
        <references count="1">
          <reference field="4294967294" count="1" selected="0">
            <x v="10"/>
          </reference>
        </references>
      </pivotArea>
    </format>
    <format dxfId="1648">
      <pivotArea field="0" dataOnly="0" labelOnly="1" grandRow="1" outline="0" axis="axisRow" fieldPosition="0">
        <references count="1">
          <reference field="4294967294" count="1" selected="0">
            <x v="11"/>
          </reference>
        </references>
      </pivotArea>
    </format>
    <format dxfId="1649">
      <pivotArea field="0" dataOnly="0" labelOnly="1" grandRow="1" outline="0" axis="axisRow" fieldPosition="0">
        <references count="1">
          <reference field="4294967294" count="1" selected="0">
            <x v="12"/>
          </reference>
        </references>
      </pivotArea>
    </format>
    <format dxfId="1650">
      <pivotArea field="0" dataOnly="0" labelOnly="1" grandRow="1" outline="0" axis="axisRow" fieldPosition="0">
        <references count="1">
          <reference field="4294967294" count="1" selected="0">
            <x v="13"/>
          </reference>
        </references>
      </pivotArea>
    </format>
    <format dxfId="1651">
      <pivotArea field="0" dataOnly="0" labelOnly="1" grandRow="1" outline="0" axis="axisRow" fieldPosition="0">
        <references count="1">
          <reference field="4294967294" count="1" selected="0">
            <x v="14"/>
          </reference>
        </references>
      </pivotArea>
    </format>
    <format dxfId="1652">
      <pivotArea field="0" dataOnly="0" labelOnly="1" grandRow="1" outline="0" axis="axisRow" fieldPosition="0">
        <references count="1">
          <reference field="4294967294" count="1" selected="0">
            <x v="15"/>
          </reference>
        </references>
      </pivotArea>
    </format>
    <format dxfId="1653">
      <pivotArea field="0" dataOnly="0" labelOnly="1" grandRow="1" outline="0" axis="axisRow" fieldPosition="0">
        <references count="1">
          <reference field="4294967294" count="1" selected="0">
            <x v="16"/>
          </reference>
        </references>
      </pivotArea>
    </format>
    <format dxfId="1654">
      <pivotArea field="0" dataOnly="0" labelOnly="1" grandRow="1" outline="0" axis="axisRow" fieldPosition="0">
        <references count="1">
          <reference field="4294967294" count="1" selected="0">
            <x v="17"/>
          </reference>
        </references>
      </pivotArea>
    </format>
    <format dxfId="1655">
      <pivotArea field="0" dataOnly="0" labelOnly="1" grandRow="1" outline="0" axis="axisRow" fieldPosition="0">
        <references count="1">
          <reference field="4294967294" count="1" selected="0">
            <x v="18"/>
          </reference>
        </references>
      </pivotArea>
    </format>
    <format dxfId="1656">
      <pivotArea field="0" dataOnly="0" labelOnly="1" grandRow="1" outline="0" axis="axisRow" fieldPosition="0">
        <references count="1">
          <reference field="4294967294" count="1" selected="0">
            <x v="19"/>
          </reference>
        </references>
      </pivotArea>
    </format>
    <format dxfId="1657">
      <pivotArea field="0" dataOnly="0" labelOnly="1" grandRow="1" outline="0" axis="axisRow" fieldPosition="0">
        <references count="1">
          <reference field="4294967294" count="1" selected="0">
            <x v="20"/>
          </reference>
        </references>
      </pivotArea>
    </format>
    <format dxfId="1658">
      <pivotArea field="0" dataOnly="0" labelOnly="1" grandRow="1" outline="0" axis="axisRow" fieldPosition="0">
        <references count="1">
          <reference field="4294967294" count="1" selected="0">
            <x v="21"/>
          </reference>
        </references>
      </pivotArea>
    </format>
    <format dxfId="1659">
      <pivotArea field="0" dataOnly="0" labelOnly="1" grandRow="1" outline="0" axis="axisRow" fieldPosition="0">
        <references count="1">
          <reference field="4294967294" count="1" selected="0">
            <x v="22"/>
          </reference>
        </references>
      </pivotArea>
    </format>
    <format dxfId="1660">
      <pivotArea field="0" dataOnly="0" labelOnly="1" grandRow="1" outline="0" axis="axisRow" fieldPosition="0">
        <references count="1">
          <reference field="4294967294" count="1" selected="0">
            <x v="23"/>
          </reference>
        </references>
      </pivotArea>
    </format>
    <format dxfId="1661">
      <pivotArea field="0" dataOnly="0" labelOnly="1" grandRow="1" outline="0" axis="axisRow" fieldPosition="0">
        <references count="1">
          <reference field="4294967294" count="1" selected="0">
            <x v="24"/>
          </reference>
        </references>
      </pivotArea>
    </format>
    <format dxfId="1662">
      <pivotArea field="0" dataOnly="0" labelOnly="1" grandRow="1" outline="0" axis="axisRow" fieldPosition="0">
        <references count="1">
          <reference field="4294967294" count="1" selected="0">
            <x v="25"/>
          </reference>
        </references>
      </pivotArea>
    </format>
    <format dxfId="1663">
      <pivotArea field="0" dataOnly="0" labelOnly="1" grandRow="1" outline="0" axis="axisRow" fieldPosition="0">
        <references count="1">
          <reference field="4294967294" count="1" selected="0">
            <x v="26"/>
          </reference>
        </references>
      </pivotArea>
    </format>
    <format dxfId="1664">
      <pivotArea field="0" dataOnly="0" labelOnly="1" grandRow="1" outline="0" axis="axisRow" fieldPosition="0">
        <references count="1">
          <reference field="4294967294" count="1" selected="0">
            <x v="27"/>
          </reference>
        </references>
      </pivotArea>
    </format>
    <format dxfId="1665">
      <pivotArea field="0" dataOnly="0" labelOnly="1" grandRow="1" outline="0" axis="axisRow" fieldPosition="0">
        <references count="1">
          <reference field="4294967294" count="1" selected="0">
            <x v="28"/>
          </reference>
        </references>
      </pivotArea>
    </format>
    <format dxfId="1666">
      <pivotArea field="0" dataOnly="0" labelOnly="1" grandRow="1" outline="0" axis="axisRow" fieldPosition="0">
        <references count="1">
          <reference field="4294967294" count="1" selected="0">
            <x v="29"/>
          </reference>
        </references>
      </pivotArea>
    </format>
    <format dxfId="1667">
      <pivotArea field="0" dataOnly="0" labelOnly="1" grandRow="1" outline="0" axis="axisRow" fieldPosition="0">
        <references count="1">
          <reference field="4294967294" count="1" selected="0">
            <x v="30"/>
          </reference>
        </references>
      </pivotArea>
    </format>
    <format dxfId="1668">
      <pivotArea field="0" dataOnly="0" labelOnly="1" grandRow="1" outline="0" axis="axisRow" fieldPosition="0">
        <references count="1">
          <reference field="4294967294" count="1" selected="0">
            <x v="31"/>
          </reference>
        </references>
      </pivotArea>
    </format>
    <format dxfId="1669">
      <pivotArea field="0" dataOnly="0" labelOnly="1" grandRow="1" outline="0" axis="axisRow" fieldPosition="0">
        <references count="1">
          <reference field="4294967294" count="1" selected="0">
            <x v="32"/>
          </reference>
        </references>
      </pivotArea>
    </format>
    <format dxfId="1670">
      <pivotArea field="0" dataOnly="0" labelOnly="1" grandRow="1" outline="0" axis="axisRow" fieldPosition="0">
        <references count="1">
          <reference field="4294967294" count="1" selected="0">
            <x v="33"/>
          </reference>
        </references>
      </pivotArea>
    </format>
    <format dxfId="1671">
      <pivotArea field="0" dataOnly="0" labelOnly="1" grandRow="1" outline="0" axis="axisRow" fieldPosition="0">
        <references count="1">
          <reference field="4294967294" count="1" selected="0">
            <x v="34"/>
          </reference>
        </references>
      </pivotArea>
    </format>
    <format dxfId="1672">
      <pivotArea field="0" dataOnly="0" labelOnly="1" grandRow="1" outline="0" axis="axisRow" fieldPosition="0">
        <references count="1">
          <reference field="4294967294" count="1" selected="0">
            <x v="35"/>
          </reference>
        </references>
      </pivotArea>
    </format>
    <format dxfId="1673">
      <pivotArea field="0" dataOnly="0" labelOnly="1" grandRow="1" outline="0" axis="axisRow" fieldPosition="0">
        <references count="1">
          <reference field="4294967294" count="1" selected="0">
            <x v="0"/>
          </reference>
        </references>
      </pivotArea>
    </format>
    <format dxfId="1674">
      <pivotArea field="0" dataOnly="0" labelOnly="1" grandRow="1" outline="0" axis="axisRow" fieldPosition="0">
        <references count="1">
          <reference field="4294967294" count="1" selected="0">
            <x v="1"/>
          </reference>
        </references>
      </pivotArea>
    </format>
    <format dxfId="1675">
      <pivotArea field="0" dataOnly="0" labelOnly="1" grandRow="1" outline="0" axis="axisRow" fieldPosition="0">
        <references count="1">
          <reference field="4294967294" count="1" selected="0">
            <x v="2"/>
          </reference>
        </references>
      </pivotArea>
    </format>
    <format dxfId="1676">
      <pivotArea field="0" dataOnly="0" labelOnly="1" grandRow="1" outline="0" axis="axisRow" fieldPosition="0">
        <references count="1">
          <reference field="4294967294" count="1" selected="0">
            <x v="3"/>
          </reference>
        </references>
      </pivotArea>
    </format>
    <format dxfId="1677">
      <pivotArea field="0" dataOnly="0" labelOnly="1" grandRow="1" outline="0" axis="axisRow" fieldPosition="0">
        <references count="1">
          <reference field="4294967294" count="1" selected="0">
            <x v="4"/>
          </reference>
        </references>
      </pivotArea>
    </format>
    <format dxfId="1678">
      <pivotArea field="0" dataOnly="0" labelOnly="1" grandRow="1" outline="0" axis="axisRow" fieldPosition="0">
        <references count="1">
          <reference field="4294967294" count="1" selected="0">
            <x v="5"/>
          </reference>
        </references>
      </pivotArea>
    </format>
    <format dxfId="1679">
      <pivotArea field="0" dataOnly="0" labelOnly="1" grandRow="1" outline="0" axis="axisRow" fieldPosition="0">
        <references count="1">
          <reference field="4294967294" count="1" selected="0">
            <x v="6"/>
          </reference>
        </references>
      </pivotArea>
    </format>
    <format dxfId="1680">
      <pivotArea field="0" dataOnly="0" labelOnly="1" grandRow="1" outline="0" axis="axisRow" fieldPosition="0">
        <references count="1">
          <reference field="4294967294" count="1" selected="0">
            <x v="7"/>
          </reference>
        </references>
      </pivotArea>
    </format>
    <format dxfId="1681">
      <pivotArea field="0" dataOnly="0" labelOnly="1" grandRow="1" outline="0" axis="axisRow" fieldPosition="0">
        <references count="1">
          <reference field="4294967294" count="1" selected="0">
            <x v="8"/>
          </reference>
        </references>
      </pivotArea>
    </format>
    <format dxfId="1682">
      <pivotArea field="0" dataOnly="0" labelOnly="1" grandRow="1" outline="0" axis="axisRow" fieldPosition="0">
        <references count="1">
          <reference field="4294967294" count="1" selected="0">
            <x v="9"/>
          </reference>
        </references>
      </pivotArea>
    </format>
    <format dxfId="1683">
      <pivotArea field="0" dataOnly="0" labelOnly="1" grandRow="1" outline="0" axis="axisRow" fieldPosition="0">
        <references count="1">
          <reference field="4294967294" count="1" selected="0">
            <x v="10"/>
          </reference>
        </references>
      </pivotArea>
    </format>
    <format dxfId="1684">
      <pivotArea field="0" dataOnly="0" labelOnly="1" grandRow="1" outline="0" axis="axisRow" fieldPosition="0">
        <references count="1">
          <reference field="4294967294" count="1" selected="0">
            <x v="11"/>
          </reference>
        </references>
      </pivotArea>
    </format>
    <format dxfId="1685">
      <pivotArea field="0" dataOnly="0" labelOnly="1" grandRow="1" outline="0" axis="axisRow" fieldPosition="0">
        <references count="1">
          <reference field="4294967294" count="1" selected="0">
            <x v="12"/>
          </reference>
        </references>
      </pivotArea>
    </format>
    <format dxfId="1686">
      <pivotArea field="0" dataOnly="0" labelOnly="1" grandRow="1" outline="0" axis="axisRow" fieldPosition="0">
        <references count="1">
          <reference field="4294967294" count="1" selected="0">
            <x v="13"/>
          </reference>
        </references>
      </pivotArea>
    </format>
    <format dxfId="1687">
      <pivotArea field="0" dataOnly="0" labelOnly="1" grandRow="1" outline="0" axis="axisRow" fieldPosition="0">
        <references count="1">
          <reference field="4294967294" count="1" selected="0">
            <x v="14"/>
          </reference>
        </references>
      </pivotArea>
    </format>
    <format dxfId="1688">
      <pivotArea field="0" dataOnly="0" labelOnly="1" grandRow="1" outline="0" axis="axisRow" fieldPosition="0">
        <references count="1">
          <reference field="4294967294" count="1" selected="0">
            <x v="15"/>
          </reference>
        </references>
      </pivotArea>
    </format>
    <format dxfId="1689">
      <pivotArea field="0" dataOnly="0" labelOnly="1" grandRow="1" outline="0" axis="axisRow" fieldPosition="0">
        <references count="1">
          <reference field="4294967294" count="1" selected="0">
            <x v="16"/>
          </reference>
        </references>
      </pivotArea>
    </format>
    <format dxfId="1690">
      <pivotArea field="0" dataOnly="0" labelOnly="1" grandRow="1" outline="0" axis="axisRow" fieldPosition="0">
        <references count="1">
          <reference field="4294967294" count="1" selected="0">
            <x v="17"/>
          </reference>
        </references>
      </pivotArea>
    </format>
    <format dxfId="1691">
      <pivotArea field="0" dataOnly="0" labelOnly="1" grandRow="1" outline="0" axis="axisRow" fieldPosition="0">
        <references count="1">
          <reference field="4294967294" count="1" selected="0">
            <x v="18"/>
          </reference>
        </references>
      </pivotArea>
    </format>
    <format dxfId="1692">
      <pivotArea field="0" dataOnly="0" labelOnly="1" grandRow="1" outline="0" axis="axisRow" fieldPosition="0">
        <references count="1">
          <reference field="4294967294" count="1" selected="0">
            <x v="19"/>
          </reference>
        </references>
      </pivotArea>
    </format>
    <format dxfId="1693">
      <pivotArea field="0" dataOnly="0" labelOnly="1" grandRow="1" outline="0" axis="axisRow" fieldPosition="0">
        <references count="1">
          <reference field="4294967294" count="1" selected="0">
            <x v="20"/>
          </reference>
        </references>
      </pivotArea>
    </format>
    <format dxfId="1694">
      <pivotArea field="0" dataOnly="0" labelOnly="1" grandRow="1" outline="0" axis="axisRow" fieldPosition="0">
        <references count="1">
          <reference field="4294967294" count="1" selected="0">
            <x v="21"/>
          </reference>
        </references>
      </pivotArea>
    </format>
    <format dxfId="1695">
      <pivotArea field="0" dataOnly="0" labelOnly="1" grandRow="1" outline="0" axis="axisRow" fieldPosition="0">
        <references count="1">
          <reference field="4294967294" count="1" selected="0">
            <x v="22"/>
          </reference>
        </references>
      </pivotArea>
    </format>
    <format dxfId="1696">
      <pivotArea field="0" dataOnly="0" labelOnly="1" grandRow="1" outline="0" axis="axisRow" fieldPosition="0">
        <references count="1">
          <reference field="4294967294" count="1" selected="0">
            <x v="23"/>
          </reference>
        </references>
      </pivotArea>
    </format>
    <format dxfId="1697">
      <pivotArea field="0" dataOnly="0" labelOnly="1" grandRow="1" outline="0" axis="axisRow" fieldPosition="0">
        <references count="1">
          <reference field="4294967294" count="1" selected="0">
            <x v="24"/>
          </reference>
        </references>
      </pivotArea>
    </format>
    <format dxfId="1698">
      <pivotArea field="0" dataOnly="0" labelOnly="1" grandRow="1" outline="0" axis="axisRow" fieldPosition="0">
        <references count="1">
          <reference field="4294967294" count="1" selected="0">
            <x v="25"/>
          </reference>
        </references>
      </pivotArea>
    </format>
    <format dxfId="1699">
      <pivotArea field="0" dataOnly="0" labelOnly="1" grandRow="1" outline="0" axis="axisRow" fieldPosition="0">
        <references count="1">
          <reference field="4294967294" count="1" selected="0">
            <x v="26"/>
          </reference>
        </references>
      </pivotArea>
    </format>
    <format dxfId="1700">
      <pivotArea field="0" dataOnly="0" labelOnly="1" grandRow="1" outline="0" axis="axisRow" fieldPosition="0">
        <references count="1">
          <reference field="4294967294" count="1" selected="0">
            <x v="27"/>
          </reference>
        </references>
      </pivotArea>
    </format>
    <format dxfId="1701">
      <pivotArea field="0" dataOnly="0" labelOnly="1" grandRow="1" outline="0" axis="axisRow" fieldPosition="0">
        <references count="1">
          <reference field="4294967294" count="1" selected="0">
            <x v="28"/>
          </reference>
        </references>
      </pivotArea>
    </format>
    <format dxfId="1702">
      <pivotArea field="0" dataOnly="0" labelOnly="1" grandRow="1" outline="0" axis="axisRow" fieldPosition="0">
        <references count="1">
          <reference field="4294967294" count="1" selected="0">
            <x v="29"/>
          </reference>
        </references>
      </pivotArea>
    </format>
    <format dxfId="1703">
      <pivotArea field="0" dataOnly="0" labelOnly="1" grandRow="1" outline="0" axis="axisRow" fieldPosition="0">
        <references count="1">
          <reference field="4294967294" count="1" selected="0">
            <x v="30"/>
          </reference>
        </references>
      </pivotArea>
    </format>
    <format dxfId="1704">
      <pivotArea field="0" dataOnly="0" labelOnly="1" grandRow="1" outline="0" axis="axisRow" fieldPosition="0">
        <references count="1">
          <reference field="4294967294" count="1" selected="0">
            <x v="31"/>
          </reference>
        </references>
      </pivotArea>
    </format>
    <format dxfId="1705">
      <pivotArea field="0" dataOnly="0" labelOnly="1" grandRow="1" outline="0" axis="axisRow" fieldPosition="0">
        <references count="1">
          <reference field="4294967294" count="1" selected="0">
            <x v="32"/>
          </reference>
        </references>
      </pivotArea>
    </format>
    <format dxfId="1706">
      <pivotArea field="0" dataOnly="0" labelOnly="1" grandRow="1" outline="0" axis="axisRow" fieldPosition="0">
        <references count="1">
          <reference field="4294967294" count="1" selected="0">
            <x v="33"/>
          </reference>
        </references>
      </pivotArea>
    </format>
    <format dxfId="1707">
      <pivotArea field="0" dataOnly="0" labelOnly="1" grandRow="1" outline="0" axis="axisRow" fieldPosition="0">
        <references count="1">
          <reference field="4294967294" count="1" selected="0">
            <x v="34"/>
          </reference>
        </references>
      </pivotArea>
    </format>
    <format dxfId="1708">
      <pivotArea field="0" dataOnly="0" labelOnly="1" grandRow="1" outline="0" axis="axisRow" fieldPosition="0">
        <references count="1">
          <reference field="4294967294" count="1" selected="0">
            <x v="35"/>
          </reference>
        </references>
      </pivotArea>
    </format>
    <format dxfId="1709">
      <pivotArea field="0" dataOnly="0" labelOnly="1" grandRow="1" outline="0" axis="axisRow" fieldPosition="0">
        <references count="1">
          <reference field="4294967294" count="1" selected="0">
            <x v="0"/>
          </reference>
        </references>
      </pivotArea>
    </format>
    <format dxfId="1710">
      <pivotArea field="0" dataOnly="0" labelOnly="1" grandRow="1" outline="0" axis="axisRow" fieldPosition="0">
        <references count="1">
          <reference field="4294967294" count="1" selected="0">
            <x v="1"/>
          </reference>
        </references>
      </pivotArea>
    </format>
    <format dxfId="1711">
      <pivotArea field="0" dataOnly="0" labelOnly="1" grandRow="1" outline="0" axis="axisRow" fieldPosition="0">
        <references count="1">
          <reference field="4294967294" count="1" selected="0">
            <x v="2"/>
          </reference>
        </references>
      </pivotArea>
    </format>
    <format dxfId="1712">
      <pivotArea field="0" dataOnly="0" labelOnly="1" grandRow="1" outline="0" axis="axisRow" fieldPosition="0">
        <references count="1">
          <reference field="4294967294" count="1" selected="0">
            <x v="3"/>
          </reference>
        </references>
      </pivotArea>
    </format>
    <format dxfId="1713">
      <pivotArea field="0" dataOnly="0" labelOnly="1" grandRow="1" outline="0" axis="axisRow" fieldPosition="0">
        <references count="1">
          <reference field="4294967294" count="1" selected="0">
            <x v="4"/>
          </reference>
        </references>
      </pivotArea>
    </format>
    <format dxfId="1714">
      <pivotArea field="0" dataOnly="0" labelOnly="1" grandRow="1" outline="0" axis="axisRow" fieldPosition="0">
        <references count="1">
          <reference field="4294967294" count="1" selected="0">
            <x v="5"/>
          </reference>
        </references>
      </pivotArea>
    </format>
    <format dxfId="1715">
      <pivotArea field="0" dataOnly="0" labelOnly="1" grandRow="1" outline="0" axis="axisRow" fieldPosition="0">
        <references count="1">
          <reference field="4294967294" count="1" selected="0">
            <x v="6"/>
          </reference>
        </references>
      </pivotArea>
    </format>
    <format dxfId="1716">
      <pivotArea field="0" dataOnly="0" labelOnly="1" grandRow="1" outline="0" axis="axisRow" fieldPosition="0">
        <references count="1">
          <reference field="4294967294" count="1" selected="0">
            <x v="7"/>
          </reference>
        </references>
      </pivotArea>
    </format>
    <format dxfId="1717">
      <pivotArea field="0" dataOnly="0" labelOnly="1" grandRow="1" outline="0" axis="axisRow" fieldPosition="0">
        <references count="1">
          <reference field="4294967294" count="1" selected="0">
            <x v="8"/>
          </reference>
        </references>
      </pivotArea>
    </format>
    <format dxfId="1718">
      <pivotArea field="0" dataOnly="0" labelOnly="1" grandRow="1" outline="0" axis="axisRow" fieldPosition="0">
        <references count="1">
          <reference field="4294967294" count="1" selected="0">
            <x v="9"/>
          </reference>
        </references>
      </pivotArea>
    </format>
    <format dxfId="1719">
      <pivotArea field="0" dataOnly="0" labelOnly="1" grandRow="1" outline="0" axis="axisRow" fieldPosition="0">
        <references count="1">
          <reference field="4294967294" count="1" selected="0">
            <x v="10"/>
          </reference>
        </references>
      </pivotArea>
    </format>
    <format dxfId="1720">
      <pivotArea field="0" dataOnly="0" labelOnly="1" grandRow="1" outline="0" axis="axisRow" fieldPosition="0">
        <references count="1">
          <reference field="4294967294" count="1" selected="0">
            <x v="11"/>
          </reference>
        </references>
      </pivotArea>
    </format>
    <format dxfId="1721">
      <pivotArea field="0" dataOnly="0" labelOnly="1" grandRow="1" outline="0" axis="axisRow" fieldPosition="0">
        <references count="1">
          <reference field="4294967294" count="1" selected="0">
            <x v="12"/>
          </reference>
        </references>
      </pivotArea>
    </format>
    <format dxfId="1722">
      <pivotArea field="0" dataOnly="0" labelOnly="1" grandRow="1" outline="0" axis="axisRow" fieldPosition="0">
        <references count="1">
          <reference field="4294967294" count="1" selected="0">
            <x v="13"/>
          </reference>
        </references>
      </pivotArea>
    </format>
    <format dxfId="1723">
      <pivotArea field="0" dataOnly="0" labelOnly="1" grandRow="1" outline="0" axis="axisRow" fieldPosition="0">
        <references count="1">
          <reference field="4294967294" count="1" selected="0">
            <x v="14"/>
          </reference>
        </references>
      </pivotArea>
    </format>
    <format dxfId="1724">
      <pivotArea field="0" dataOnly="0" labelOnly="1" grandRow="1" outline="0" axis="axisRow" fieldPosition="0">
        <references count="1">
          <reference field="4294967294" count="1" selected="0">
            <x v="15"/>
          </reference>
        </references>
      </pivotArea>
    </format>
    <format dxfId="1725">
      <pivotArea field="0" dataOnly="0" labelOnly="1" grandRow="1" outline="0" axis="axisRow" fieldPosition="0">
        <references count="1">
          <reference field="4294967294" count="1" selected="0">
            <x v="16"/>
          </reference>
        </references>
      </pivotArea>
    </format>
    <format dxfId="1726">
      <pivotArea field="0" dataOnly="0" labelOnly="1" grandRow="1" outline="0" axis="axisRow" fieldPosition="0">
        <references count="1">
          <reference field="4294967294" count="1" selected="0">
            <x v="17"/>
          </reference>
        </references>
      </pivotArea>
    </format>
    <format dxfId="1727">
      <pivotArea field="0" dataOnly="0" labelOnly="1" grandRow="1" outline="0" axis="axisRow" fieldPosition="0">
        <references count="1">
          <reference field="4294967294" count="1" selected="0">
            <x v="18"/>
          </reference>
        </references>
      </pivotArea>
    </format>
    <format dxfId="1728">
      <pivotArea field="0" dataOnly="0" labelOnly="1" grandRow="1" outline="0" axis="axisRow" fieldPosition="0">
        <references count="1">
          <reference field="4294967294" count="1" selected="0">
            <x v="19"/>
          </reference>
        </references>
      </pivotArea>
    </format>
    <format dxfId="1729">
      <pivotArea field="0" dataOnly="0" labelOnly="1" grandRow="1" outline="0" axis="axisRow" fieldPosition="0">
        <references count="1">
          <reference field="4294967294" count="1" selected="0">
            <x v="20"/>
          </reference>
        </references>
      </pivotArea>
    </format>
    <format dxfId="1730">
      <pivotArea field="0" dataOnly="0" labelOnly="1" grandRow="1" outline="0" axis="axisRow" fieldPosition="0">
        <references count="1">
          <reference field="4294967294" count="1" selected="0">
            <x v="21"/>
          </reference>
        </references>
      </pivotArea>
    </format>
    <format dxfId="1731">
      <pivotArea field="0" dataOnly="0" labelOnly="1" grandRow="1" outline="0" axis="axisRow" fieldPosition="0">
        <references count="1">
          <reference field="4294967294" count="1" selected="0">
            <x v="22"/>
          </reference>
        </references>
      </pivotArea>
    </format>
    <format dxfId="1732">
      <pivotArea field="0" dataOnly="0" labelOnly="1" grandRow="1" outline="0" axis="axisRow" fieldPosition="0">
        <references count="1">
          <reference field="4294967294" count="1" selected="0">
            <x v="23"/>
          </reference>
        </references>
      </pivotArea>
    </format>
    <format dxfId="1733">
      <pivotArea field="0" dataOnly="0" labelOnly="1" grandRow="1" outline="0" axis="axisRow" fieldPosition="0">
        <references count="1">
          <reference field="4294967294" count="1" selected="0">
            <x v="24"/>
          </reference>
        </references>
      </pivotArea>
    </format>
    <format dxfId="1734">
      <pivotArea field="0" dataOnly="0" labelOnly="1" grandRow="1" outline="0" axis="axisRow" fieldPosition="0">
        <references count="1">
          <reference field="4294967294" count="1" selected="0">
            <x v="25"/>
          </reference>
        </references>
      </pivotArea>
    </format>
    <format dxfId="1735">
      <pivotArea field="0" dataOnly="0" labelOnly="1" grandRow="1" outline="0" axis="axisRow" fieldPosition="0">
        <references count="1">
          <reference field="4294967294" count="1" selected="0">
            <x v="26"/>
          </reference>
        </references>
      </pivotArea>
    </format>
    <format dxfId="1736">
      <pivotArea field="0" dataOnly="0" labelOnly="1" grandRow="1" outline="0" axis="axisRow" fieldPosition="0">
        <references count="1">
          <reference field="4294967294" count="1" selected="0">
            <x v="27"/>
          </reference>
        </references>
      </pivotArea>
    </format>
    <format dxfId="1737">
      <pivotArea field="0" dataOnly="0" labelOnly="1" grandRow="1" outline="0" axis="axisRow" fieldPosition="0">
        <references count="1">
          <reference field="4294967294" count="1" selected="0">
            <x v="28"/>
          </reference>
        </references>
      </pivotArea>
    </format>
    <format dxfId="1738">
      <pivotArea field="0" dataOnly="0" labelOnly="1" grandRow="1" outline="0" axis="axisRow" fieldPosition="0">
        <references count="1">
          <reference field="4294967294" count="1" selected="0">
            <x v="29"/>
          </reference>
        </references>
      </pivotArea>
    </format>
    <format dxfId="1739">
      <pivotArea field="0" dataOnly="0" labelOnly="1" grandRow="1" outline="0" axis="axisRow" fieldPosition="0">
        <references count="1">
          <reference field="4294967294" count="1" selected="0">
            <x v="30"/>
          </reference>
        </references>
      </pivotArea>
    </format>
    <format dxfId="1740">
      <pivotArea field="0" dataOnly="0" labelOnly="1" grandRow="1" outline="0" axis="axisRow" fieldPosition="0">
        <references count="1">
          <reference field="4294967294" count="1" selected="0">
            <x v="31"/>
          </reference>
        </references>
      </pivotArea>
    </format>
    <format dxfId="1741">
      <pivotArea field="0" dataOnly="0" labelOnly="1" grandRow="1" outline="0" axis="axisRow" fieldPosition="0">
        <references count="1">
          <reference field="4294967294" count="1" selected="0">
            <x v="32"/>
          </reference>
        </references>
      </pivotArea>
    </format>
    <format dxfId="1742">
      <pivotArea field="0" dataOnly="0" labelOnly="1" grandRow="1" outline="0" axis="axisRow" fieldPosition="0">
        <references count="1">
          <reference field="4294967294" count="1" selected="0">
            <x v="33"/>
          </reference>
        </references>
      </pivotArea>
    </format>
    <format dxfId="1743">
      <pivotArea field="0" dataOnly="0" labelOnly="1" grandRow="1" outline="0" axis="axisRow" fieldPosition="0">
        <references count="1">
          <reference field="4294967294" count="1" selected="0">
            <x v="34"/>
          </reference>
        </references>
      </pivotArea>
    </format>
    <format dxfId="1744">
      <pivotArea field="0" dataOnly="0" labelOnly="1" grandRow="1" outline="0" axis="axisRow" fieldPosition="0">
        <references count="1">
          <reference field="4294967294" count="1" selected="0">
            <x v="35"/>
          </reference>
        </references>
      </pivotArea>
    </format>
    <format dxfId="1745">
      <pivotArea field="0" dataOnly="0" labelOnly="1" grandRow="1" outline="0" axis="axisRow" fieldPosition="0">
        <references count="1">
          <reference field="4294967294" count="1" selected="0">
            <x v="0"/>
          </reference>
        </references>
      </pivotArea>
    </format>
    <format dxfId="1746">
      <pivotArea field="0" dataOnly="0" labelOnly="1" grandRow="1" outline="0" axis="axisRow" fieldPosition="0">
        <references count="1">
          <reference field="4294967294" count="1" selected="0">
            <x v="1"/>
          </reference>
        </references>
      </pivotArea>
    </format>
    <format dxfId="1747">
      <pivotArea field="0" dataOnly="0" labelOnly="1" grandRow="1" outline="0" axis="axisRow" fieldPosition="0">
        <references count="1">
          <reference field="4294967294" count="1" selected="0">
            <x v="2"/>
          </reference>
        </references>
      </pivotArea>
    </format>
    <format dxfId="1748">
      <pivotArea field="0" dataOnly="0" labelOnly="1" grandRow="1" outline="0" axis="axisRow" fieldPosition="0">
        <references count="1">
          <reference field="4294967294" count="1" selected="0">
            <x v="3"/>
          </reference>
        </references>
      </pivotArea>
    </format>
    <format dxfId="1749">
      <pivotArea field="0" dataOnly="0" labelOnly="1" grandRow="1" outline="0" axis="axisRow" fieldPosition="0">
        <references count="1">
          <reference field="4294967294" count="1" selected="0">
            <x v="4"/>
          </reference>
        </references>
      </pivotArea>
    </format>
    <format dxfId="1750">
      <pivotArea field="0" dataOnly="0" labelOnly="1" grandRow="1" outline="0" axis="axisRow" fieldPosition="0">
        <references count="1">
          <reference field="4294967294" count="1" selected="0">
            <x v="5"/>
          </reference>
        </references>
      </pivotArea>
    </format>
    <format dxfId="1751">
      <pivotArea field="0" dataOnly="0" labelOnly="1" grandRow="1" outline="0" axis="axisRow" fieldPosition="0">
        <references count="1">
          <reference field="4294967294" count="1" selected="0">
            <x v="6"/>
          </reference>
        </references>
      </pivotArea>
    </format>
    <format dxfId="1752">
      <pivotArea field="0" dataOnly="0" labelOnly="1" grandRow="1" outline="0" axis="axisRow" fieldPosition="0">
        <references count="1">
          <reference field="4294967294" count="1" selected="0">
            <x v="7"/>
          </reference>
        </references>
      </pivotArea>
    </format>
    <format dxfId="1753">
      <pivotArea field="0" dataOnly="0" labelOnly="1" grandRow="1" outline="0" axis="axisRow" fieldPosition="0">
        <references count="1">
          <reference field="4294967294" count="1" selected="0">
            <x v="8"/>
          </reference>
        </references>
      </pivotArea>
    </format>
    <format dxfId="1754">
      <pivotArea field="0" dataOnly="0" labelOnly="1" grandRow="1" outline="0" axis="axisRow" fieldPosition="0">
        <references count="1">
          <reference field="4294967294" count="1" selected="0">
            <x v="9"/>
          </reference>
        </references>
      </pivotArea>
    </format>
    <format dxfId="1755">
      <pivotArea field="0" dataOnly="0" labelOnly="1" grandRow="1" outline="0" axis="axisRow" fieldPosition="0">
        <references count="1">
          <reference field="4294967294" count="1" selected="0">
            <x v="10"/>
          </reference>
        </references>
      </pivotArea>
    </format>
    <format dxfId="1756">
      <pivotArea field="0" dataOnly="0" labelOnly="1" grandRow="1" outline="0" axis="axisRow" fieldPosition="0">
        <references count="1">
          <reference field="4294967294" count="1" selected="0">
            <x v="11"/>
          </reference>
        </references>
      </pivotArea>
    </format>
    <format dxfId="1757">
      <pivotArea field="0" dataOnly="0" labelOnly="1" grandRow="1" outline="0" axis="axisRow" fieldPosition="0">
        <references count="1">
          <reference field="4294967294" count="1" selected="0">
            <x v="12"/>
          </reference>
        </references>
      </pivotArea>
    </format>
    <format dxfId="1758">
      <pivotArea field="0" dataOnly="0" labelOnly="1" grandRow="1" outline="0" axis="axisRow" fieldPosition="0">
        <references count="1">
          <reference field="4294967294" count="1" selected="0">
            <x v="13"/>
          </reference>
        </references>
      </pivotArea>
    </format>
    <format dxfId="1759">
      <pivotArea field="0" dataOnly="0" labelOnly="1" grandRow="1" outline="0" axis="axisRow" fieldPosition="0">
        <references count="1">
          <reference field="4294967294" count="1" selected="0">
            <x v="14"/>
          </reference>
        </references>
      </pivotArea>
    </format>
    <format dxfId="1760">
      <pivotArea field="0" dataOnly="0" labelOnly="1" grandRow="1" outline="0" axis="axisRow" fieldPosition="0">
        <references count="1">
          <reference field="4294967294" count="1" selected="0">
            <x v="15"/>
          </reference>
        </references>
      </pivotArea>
    </format>
    <format dxfId="1761">
      <pivotArea field="0" dataOnly="0" labelOnly="1" grandRow="1" outline="0" axis="axisRow" fieldPosition="0">
        <references count="1">
          <reference field="4294967294" count="1" selected="0">
            <x v="16"/>
          </reference>
        </references>
      </pivotArea>
    </format>
    <format dxfId="1762">
      <pivotArea field="0" dataOnly="0" labelOnly="1" grandRow="1" outline="0" axis="axisRow" fieldPosition="0">
        <references count="1">
          <reference field="4294967294" count="1" selected="0">
            <x v="17"/>
          </reference>
        </references>
      </pivotArea>
    </format>
    <format dxfId="1763">
      <pivotArea field="0" dataOnly="0" labelOnly="1" grandRow="1" outline="0" axis="axisRow" fieldPosition="0">
        <references count="1">
          <reference field="4294967294" count="1" selected="0">
            <x v="18"/>
          </reference>
        </references>
      </pivotArea>
    </format>
    <format dxfId="1764">
      <pivotArea field="0" dataOnly="0" labelOnly="1" grandRow="1" outline="0" axis="axisRow" fieldPosition="0">
        <references count="1">
          <reference field="4294967294" count="1" selected="0">
            <x v="19"/>
          </reference>
        </references>
      </pivotArea>
    </format>
    <format dxfId="1765">
      <pivotArea field="0" dataOnly="0" labelOnly="1" grandRow="1" outline="0" axis="axisRow" fieldPosition="0">
        <references count="1">
          <reference field="4294967294" count="1" selected="0">
            <x v="20"/>
          </reference>
        </references>
      </pivotArea>
    </format>
    <format dxfId="1766">
      <pivotArea field="0" dataOnly="0" labelOnly="1" grandRow="1" outline="0" axis="axisRow" fieldPosition="0">
        <references count="1">
          <reference field="4294967294" count="1" selected="0">
            <x v="21"/>
          </reference>
        </references>
      </pivotArea>
    </format>
    <format dxfId="1767">
      <pivotArea field="0" dataOnly="0" labelOnly="1" grandRow="1" outline="0" axis="axisRow" fieldPosition="0">
        <references count="1">
          <reference field="4294967294" count="1" selected="0">
            <x v="22"/>
          </reference>
        </references>
      </pivotArea>
    </format>
    <format dxfId="1768">
      <pivotArea field="0" dataOnly="0" labelOnly="1" grandRow="1" outline="0" axis="axisRow" fieldPosition="0">
        <references count="1">
          <reference field="4294967294" count="1" selected="0">
            <x v="23"/>
          </reference>
        </references>
      </pivotArea>
    </format>
    <format dxfId="1769">
      <pivotArea field="0" dataOnly="0" labelOnly="1" grandRow="1" outline="0" axis="axisRow" fieldPosition="0">
        <references count="1">
          <reference field="4294967294" count="1" selected="0">
            <x v="24"/>
          </reference>
        </references>
      </pivotArea>
    </format>
    <format dxfId="1770">
      <pivotArea field="0" dataOnly="0" labelOnly="1" grandRow="1" outline="0" axis="axisRow" fieldPosition="0">
        <references count="1">
          <reference field="4294967294" count="1" selected="0">
            <x v="25"/>
          </reference>
        </references>
      </pivotArea>
    </format>
    <format dxfId="1771">
      <pivotArea field="0" dataOnly="0" labelOnly="1" grandRow="1" outline="0" axis="axisRow" fieldPosition="0">
        <references count="1">
          <reference field="4294967294" count="1" selected="0">
            <x v="26"/>
          </reference>
        </references>
      </pivotArea>
    </format>
    <format dxfId="1772">
      <pivotArea field="0" dataOnly="0" labelOnly="1" grandRow="1" outline="0" axis="axisRow" fieldPosition="0">
        <references count="1">
          <reference field="4294967294" count="1" selected="0">
            <x v="27"/>
          </reference>
        </references>
      </pivotArea>
    </format>
    <format dxfId="1773">
      <pivotArea field="0" dataOnly="0" labelOnly="1" grandRow="1" outline="0" axis="axisRow" fieldPosition="0">
        <references count="1">
          <reference field="4294967294" count="1" selected="0">
            <x v="28"/>
          </reference>
        </references>
      </pivotArea>
    </format>
    <format dxfId="1774">
      <pivotArea field="0" dataOnly="0" labelOnly="1" grandRow="1" outline="0" axis="axisRow" fieldPosition="0">
        <references count="1">
          <reference field="4294967294" count="1" selected="0">
            <x v="29"/>
          </reference>
        </references>
      </pivotArea>
    </format>
    <format dxfId="1775">
      <pivotArea field="0" dataOnly="0" labelOnly="1" grandRow="1" outline="0" axis="axisRow" fieldPosition="0">
        <references count="1">
          <reference field="4294967294" count="1" selected="0">
            <x v="30"/>
          </reference>
        </references>
      </pivotArea>
    </format>
    <format dxfId="1776">
      <pivotArea field="0" dataOnly="0" labelOnly="1" grandRow="1" outline="0" axis="axisRow" fieldPosition="0">
        <references count="1">
          <reference field="4294967294" count="1" selected="0">
            <x v="31"/>
          </reference>
        </references>
      </pivotArea>
    </format>
    <format dxfId="1777">
      <pivotArea field="0" dataOnly="0" labelOnly="1" grandRow="1" outline="0" axis="axisRow" fieldPosition="0">
        <references count="1">
          <reference field="4294967294" count="1" selected="0">
            <x v="32"/>
          </reference>
        </references>
      </pivotArea>
    </format>
    <format dxfId="1778">
      <pivotArea field="0" dataOnly="0" labelOnly="1" grandRow="1" outline="0" axis="axisRow" fieldPosition="0">
        <references count="1">
          <reference field="4294967294" count="1" selected="0">
            <x v="33"/>
          </reference>
        </references>
      </pivotArea>
    </format>
    <format dxfId="1779">
      <pivotArea field="0" dataOnly="0" labelOnly="1" grandRow="1" outline="0" axis="axisRow" fieldPosition="0">
        <references count="1">
          <reference field="4294967294" count="1" selected="0">
            <x v="34"/>
          </reference>
        </references>
      </pivotArea>
    </format>
    <format dxfId="1780">
      <pivotArea field="0" dataOnly="0" labelOnly="1" grandRow="1" outline="0" axis="axisRow" fieldPosition="0">
        <references count="1">
          <reference field="4294967294" count="1" selected="0">
            <x v="35"/>
          </reference>
        </references>
      </pivotArea>
    </format>
    <format dxfId="1781">
      <pivotArea field="0" dataOnly="0" labelOnly="1" grandRow="1" outline="0" axis="axisRow" fieldPosition="0">
        <references count="1">
          <reference field="4294967294" count="1" selected="0">
            <x v="0"/>
          </reference>
        </references>
      </pivotArea>
    </format>
    <format dxfId="1782">
      <pivotArea field="0" dataOnly="0" labelOnly="1" grandRow="1" outline="0" axis="axisRow" fieldPosition="0">
        <references count="1">
          <reference field="4294967294" count="1" selected="0">
            <x v="1"/>
          </reference>
        </references>
      </pivotArea>
    </format>
    <format dxfId="1783">
      <pivotArea field="0" dataOnly="0" labelOnly="1" grandRow="1" outline="0" axis="axisRow" fieldPosition="0">
        <references count="1">
          <reference field="4294967294" count="1" selected="0">
            <x v="2"/>
          </reference>
        </references>
      </pivotArea>
    </format>
    <format dxfId="1784">
      <pivotArea field="0" dataOnly="0" labelOnly="1" grandRow="1" outline="0" axis="axisRow" fieldPosition="0">
        <references count="1">
          <reference field="4294967294" count="1" selected="0">
            <x v="3"/>
          </reference>
        </references>
      </pivotArea>
    </format>
    <format dxfId="1785">
      <pivotArea field="0" dataOnly="0" labelOnly="1" grandRow="1" outline="0" axis="axisRow" fieldPosition="0">
        <references count="1">
          <reference field="4294967294" count="1" selected="0">
            <x v="4"/>
          </reference>
        </references>
      </pivotArea>
    </format>
    <format dxfId="1786">
      <pivotArea field="0" dataOnly="0" labelOnly="1" grandRow="1" outline="0" axis="axisRow" fieldPosition="0">
        <references count="1">
          <reference field="4294967294" count="1" selected="0">
            <x v="5"/>
          </reference>
        </references>
      </pivotArea>
    </format>
    <format dxfId="1787">
      <pivotArea field="0" dataOnly="0" labelOnly="1" grandRow="1" outline="0" axis="axisRow" fieldPosition="0">
        <references count="1">
          <reference field="4294967294" count="1" selected="0">
            <x v="6"/>
          </reference>
        </references>
      </pivotArea>
    </format>
    <format dxfId="1788">
      <pivotArea field="0" dataOnly="0" labelOnly="1" grandRow="1" outline="0" axis="axisRow" fieldPosition="0">
        <references count="1">
          <reference field="4294967294" count="1" selected="0">
            <x v="7"/>
          </reference>
        </references>
      </pivotArea>
    </format>
    <format dxfId="1789">
      <pivotArea field="0" dataOnly="0" labelOnly="1" grandRow="1" outline="0" axis="axisRow" fieldPosition="0">
        <references count="1">
          <reference field="4294967294" count="1" selected="0">
            <x v="8"/>
          </reference>
        </references>
      </pivotArea>
    </format>
    <format dxfId="1790">
      <pivotArea field="0" dataOnly="0" labelOnly="1" grandRow="1" outline="0" axis="axisRow" fieldPosition="0">
        <references count="1">
          <reference field="4294967294" count="1" selected="0">
            <x v="9"/>
          </reference>
        </references>
      </pivotArea>
    </format>
    <format dxfId="1791">
      <pivotArea field="0" dataOnly="0" labelOnly="1" grandRow="1" outline="0" axis="axisRow" fieldPosition="0">
        <references count="1">
          <reference field="4294967294" count="1" selected="0">
            <x v="10"/>
          </reference>
        </references>
      </pivotArea>
    </format>
    <format dxfId="1792">
      <pivotArea field="0" dataOnly="0" labelOnly="1" grandRow="1" outline="0" axis="axisRow" fieldPosition="0">
        <references count="1">
          <reference field="4294967294" count="1" selected="0">
            <x v="11"/>
          </reference>
        </references>
      </pivotArea>
    </format>
    <format dxfId="1793">
      <pivotArea field="0" dataOnly="0" labelOnly="1" grandRow="1" outline="0" axis="axisRow" fieldPosition="0">
        <references count="1">
          <reference field="4294967294" count="1" selected="0">
            <x v="12"/>
          </reference>
        </references>
      </pivotArea>
    </format>
    <format dxfId="1794">
      <pivotArea field="0" dataOnly="0" labelOnly="1" grandRow="1" outline="0" axis="axisRow" fieldPosition="0">
        <references count="1">
          <reference field="4294967294" count="1" selected="0">
            <x v="13"/>
          </reference>
        </references>
      </pivotArea>
    </format>
    <format dxfId="1795">
      <pivotArea field="0" dataOnly="0" labelOnly="1" grandRow="1" outline="0" axis="axisRow" fieldPosition="0">
        <references count="1">
          <reference field="4294967294" count="1" selected="0">
            <x v="14"/>
          </reference>
        </references>
      </pivotArea>
    </format>
    <format dxfId="1796">
      <pivotArea field="0" dataOnly="0" labelOnly="1" grandRow="1" outline="0" axis="axisRow" fieldPosition="0">
        <references count="1">
          <reference field="4294967294" count="1" selected="0">
            <x v="15"/>
          </reference>
        </references>
      </pivotArea>
    </format>
    <format dxfId="1797">
      <pivotArea field="0" dataOnly="0" labelOnly="1" grandRow="1" outline="0" axis="axisRow" fieldPosition="0">
        <references count="1">
          <reference field="4294967294" count="1" selected="0">
            <x v="16"/>
          </reference>
        </references>
      </pivotArea>
    </format>
    <format dxfId="1798">
      <pivotArea field="0" dataOnly="0" labelOnly="1" grandRow="1" outline="0" axis="axisRow" fieldPosition="0">
        <references count="1">
          <reference field="4294967294" count="1" selected="0">
            <x v="17"/>
          </reference>
        </references>
      </pivotArea>
    </format>
    <format dxfId="1799">
      <pivotArea field="0" dataOnly="0" labelOnly="1" grandRow="1" outline="0" axis="axisRow" fieldPosition="0">
        <references count="1">
          <reference field="4294967294" count="1" selected="0">
            <x v="18"/>
          </reference>
        </references>
      </pivotArea>
    </format>
    <format dxfId="1800">
      <pivotArea field="0" dataOnly="0" labelOnly="1" grandRow="1" outline="0" axis="axisRow" fieldPosition="0">
        <references count="1">
          <reference field="4294967294" count="1" selected="0">
            <x v="19"/>
          </reference>
        </references>
      </pivotArea>
    </format>
    <format dxfId="1801">
      <pivotArea field="0" dataOnly="0" labelOnly="1" grandRow="1" outline="0" axis="axisRow" fieldPosition="0">
        <references count="1">
          <reference field="4294967294" count="1" selected="0">
            <x v="20"/>
          </reference>
        </references>
      </pivotArea>
    </format>
    <format dxfId="1802">
      <pivotArea field="0" dataOnly="0" labelOnly="1" grandRow="1" outline="0" axis="axisRow" fieldPosition="0">
        <references count="1">
          <reference field="4294967294" count="1" selected="0">
            <x v="21"/>
          </reference>
        </references>
      </pivotArea>
    </format>
    <format dxfId="1803">
      <pivotArea field="0" dataOnly="0" labelOnly="1" grandRow="1" outline="0" axis="axisRow" fieldPosition="0">
        <references count="1">
          <reference field="4294967294" count="1" selected="0">
            <x v="22"/>
          </reference>
        </references>
      </pivotArea>
    </format>
    <format dxfId="1804">
      <pivotArea field="0" dataOnly="0" labelOnly="1" grandRow="1" outline="0" axis="axisRow" fieldPosition="0">
        <references count="1">
          <reference field="4294967294" count="1" selected="0">
            <x v="23"/>
          </reference>
        </references>
      </pivotArea>
    </format>
    <format dxfId="1805">
      <pivotArea field="0" dataOnly="0" labelOnly="1" grandRow="1" outline="0" axis="axisRow" fieldPosition="0">
        <references count="1">
          <reference field="4294967294" count="1" selected="0">
            <x v="24"/>
          </reference>
        </references>
      </pivotArea>
    </format>
    <format dxfId="1806">
      <pivotArea field="0" dataOnly="0" labelOnly="1" grandRow="1" outline="0" axis="axisRow" fieldPosition="0">
        <references count="1">
          <reference field="4294967294" count="1" selected="0">
            <x v="25"/>
          </reference>
        </references>
      </pivotArea>
    </format>
    <format dxfId="1807">
      <pivotArea field="0" dataOnly="0" labelOnly="1" grandRow="1" outline="0" axis="axisRow" fieldPosition="0">
        <references count="1">
          <reference field="4294967294" count="1" selected="0">
            <x v="26"/>
          </reference>
        </references>
      </pivotArea>
    </format>
    <format dxfId="1808">
      <pivotArea field="0" dataOnly="0" labelOnly="1" grandRow="1" outline="0" axis="axisRow" fieldPosition="0">
        <references count="1">
          <reference field="4294967294" count="1" selected="0">
            <x v="27"/>
          </reference>
        </references>
      </pivotArea>
    </format>
    <format dxfId="1809">
      <pivotArea field="0" dataOnly="0" labelOnly="1" grandRow="1" outline="0" axis="axisRow" fieldPosition="0">
        <references count="1">
          <reference field="4294967294" count="1" selected="0">
            <x v="28"/>
          </reference>
        </references>
      </pivotArea>
    </format>
    <format dxfId="1810">
      <pivotArea field="0" dataOnly="0" labelOnly="1" grandRow="1" outline="0" axis="axisRow" fieldPosition="0">
        <references count="1">
          <reference field="4294967294" count="1" selected="0">
            <x v="29"/>
          </reference>
        </references>
      </pivotArea>
    </format>
    <format dxfId="1811">
      <pivotArea field="0" dataOnly="0" labelOnly="1" grandRow="1" outline="0" axis="axisRow" fieldPosition="0">
        <references count="1">
          <reference field="4294967294" count="1" selected="0">
            <x v="30"/>
          </reference>
        </references>
      </pivotArea>
    </format>
    <format dxfId="1812">
      <pivotArea field="0" dataOnly="0" labelOnly="1" grandRow="1" outline="0" axis="axisRow" fieldPosition="0">
        <references count="1">
          <reference field="4294967294" count="1" selected="0">
            <x v="31"/>
          </reference>
        </references>
      </pivotArea>
    </format>
    <format dxfId="1813">
      <pivotArea field="0" dataOnly="0" labelOnly="1" grandRow="1" outline="0" axis="axisRow" fieldPosition="0">
        <references count="1">
          <reference field="4294967294" count="1" selected="0">
            <x v="32"/>
          </reference>
        </references>
      </pivotArea>
    </format>
    <format dxfId="1814">
      <pivotArea field="0" dataOnly="0" labelOnly="1" grandRow="1" outline="0" axis="axisRow" fieldPosition="0">
        <references count="1">
          <reference field="4294967294" count="1" selected="0">
            <x v="33"/>
          </reference>
        </references>
      </pivotArea>
    </format>
    <format dxfId="1815">
      <pivotArea field="0" dataOnly="0" labelOnly="1" grandRow="1" outline="0" axis="axisRow" fieldPosition="0">
        <references count="1">
          <reference field="4294967294" count="1" selected="0">
            <x v="34"/>
          </reference>
        </references>
      </pivotArea>
    </format>
    <format dxfId="1816">
      <pivotArea field="0" dataOnly="0" labelOnly="1" grandRow="1" outline="0" axis="axisRow" fieldPosition="0">
        <references count="1">
          <reference field="4294967294" count="1" selected="0">
            <x v="35"/>
          </reference>
        </references>
      </pivotArea>
    </format>
    <format dxfId="1817">
      <pivotArea field="0" dataOnly="0" labelOnly="1" grandRow="1" outline="0" axis="axisRow" fieldPosition="0">
        <references count="1">
          <reference field="4294967294" count="1" selected="0">
            <x v="0"/>
          </reference>
        </references>
      </pivotArea>
    </format>
    <format dxfId="1818">
      <pivotArea field="0" dataOnly="0" labelOnly="1" grandRow="1" outline="0" axis="axisRow" fieldPosition="0">
        <references count="1">
          <reference field="4294967294" count="1" selected="0">
            <x v="1"/>
          </reference>
        </references>
      </pivotArea>
    </format>
    <format dxfId="1819">
      <pivotArea field="0" dataOnly="0" labelOnly="1" grandRow="1" outline="0" axis="axisRow" fieldPosition="0">
        <references count="1">
          <reference field="4294967294" count="1" selected="0">
            <x v="2"/>
          </reference>
        </references>
      </pivotArea>
    </format>
    <format dxfId="1820">
      <pivotArea field="0" dataOnly="0" labelOnly="1" grandRow="1" outline="0" axis="axisRow" fieldPosition="0">
        <references count="1">
          <reference field="4294967294" count="1" selected="0">
            <x v="3"/>
          </reference>
        </references>
      </pivotArea>
    </format>
    <format dxfId="1821">
      <pivotArea field="0" dataOnly="0" labelOnly="1" grandRow="1" outline="0" axis="axisRow" fieldPosition="0">
        <references count="1">
          <reference field="4294967294" count="1" selected="0">
            <x v="4"/>
          </reference>
        </references>
      </pivotArea>
    </format>
    <format dxfId="1822">
      <pivotArea field="0" dataOnly="0" labelOnly="1" grandRow="1" outline="0" axis="axisRow" fieldPosition="0">
        <references count="1">
          <reference field="4294967294" count="1" selected="0">
            <x v="5"/>
          </reference>
        </references>
      </pivotArea>
    </format>
    <format dxfId="1823">
      <pivotArea field="0" dataOnly="0" labelOnly="1" grandRow="1" outline="0" axis="axisRow" fieldPosition="0">
        <references count="1">
          <reference field="4294967294" count="1" selected="0">
            <x v="6"/>
          </reference>
        </references>
      </pivotArea>
    </format>
    <format dxfId="1824">
      <pivotArea field="0" dataOnly="0" labelOnly="1" grandRow="1" outline="0" axis="axisRow" fieldPosition="0">
        <references count="1">
          <reference field="4294967294" count="1" selected="0">
            <x v="7"/>
          </reference>
        </references>
      </pivotArea>
    </format>
    <format dxfId="1825">
      <pivotArea field="0" dataOnly="0" labelOnly="1" grandRow="1" outline="0" axis="axisRow" fieldPosition="0">
        <references count="1">
          <reference field="4294967294" count="1" selected="0">
            <x v="8"/>
          </reference>
        </references>
      </pivotArea>
    </format>
    <format dxfId="1826">
      <pivotArea field="0" dataOnly="0" labelOnly="1" grandRow="1" outline="0" axis="axisRow" fieldPosition="0">
        <references count="1">
          <reference field="4294967294" count="1" selected="0">
            <x v="9"/>
          </reference>
        </references>
      </pivotArea>
    </format>
    <format dxfId="1827">
      <pivotArea field="0" dataOnly="0" labelOnly="1" grandRow="1" outline="0" axis="axisRow" fieldPosition="0">
        <references count="1">
          <reference field="4294967294" count="1" selected="0">
            <x v="10"/>
          </reference>
        </references>
      </pivotArea>
    </format>
    <format dxfId="1828">
      <pivotArea field="0" dataOnly="0" labelOnly="1" grandRow="1" outline="0" axis="axisRow" fieldPosition="0">
        <references count="1">
          <reference field="4294967294" count="1" selected="0">
            <x v="11"/>
          </reference>
        </references>
      </pivotArea>
    </format>
    <format dxfId="1829">
      <pivotArea field="0" dataOnly="0" labelOnly="1" grandRow="1" outline="0" axis="axisRow" fieldPosition="0">
        <references count="1">
          <reference field="4294967294" count="1" selected="0">
            <x v="12"/>
          </reference>
        </references>
      </pivotArea>
    </format>
    <format dxfId="1830">
      <pivotArea field="0" dataOnly="0" labelOnly="1" grandRow="1" outline="0" axis="axisRow" fieldPosition="0">
        <references count="1">
          <reference field="4294967294" count="1" selected="0">
            <x v="13"/>
          </reference>
        </references>
      </pivotArea>
    </format>
    <format dxfId="1831">
      <pivotArea field="0" dataOnly="0" labelOnly="1" grandRow="1" outline="0" axis="axisRow" fieldPosition="0">
        <references count="1">
          <reference field="4294967294" count="1" selected="0">
            <x v="14"/>
          </reference>
        </references>
      </pivotArea>
    </format>
    <format dxfId="1832">
      <pivotArea field="0" dataOnly="0" labelOnly="1" grandRow="1" outline="0" axis="axisRow" fieldPosition="0">
        <references count="1">
          <reference field="4294967294" count="1" selected="0">
            <x v="15"/>
          </reference>
        </references>
      </pivotArea>
    </format>
    <format dxfId="1833">
      <pivotArea field="0" dataOnly="0" labelOnly="1" grandRow="1" outline="0" axis="axisRow" fieldPosition="0">
        <references count="1">
          <reference field="4294967294" count="1" selected="0">
            <x v="16"/>
          </reference>
        </references>
      </pivotArea>
    </format>
    <format dxfId="1834">
      <pivotArea field="0" dataOnly="0" labelOnly="1" grandRow="1" outline="0" axis="axisRow" fieldPosition="0">
        <references count="1">
          <reference field="4294967294" count="1" selected="0">
            <x v="17"/>
          </reference>
        </references>
      </pivotArea>
    </format>
    <format dxfId="1835">
      <pivotArea field="0" dataOnly="0" labelOnly="1" grandRow="1" outline="0" axis="axisRow" fieldPosition="0">
        <references count="1">
          <reference field="4294967294" count="1" selected="0">
            <x v="18"/>
          </reference>
        </references>
      </pivotArea>
    </format>
    <format dxfId="1836">
      <pivotArea field="0" dataOnly="0" labelOnly="1" grandRow="1" outline="0" axis="axisRow" fieldPosition="0">
        <references count="1">
          <reference field="4294967294" count="1" selected="0">
            <x v="19"/>
          </reference>
        </references>
      </pivotArea>
    </format>
    <format dxfId="1837">
      <pivotArea field="0" dataOnly="0" labelOnly="1" grandRow="1" outline="0" axis="axisRow" fieldPosition="0">
        <references count="1">
          <reference field="4294967294" count="1" selected="0">
            <x v="20"/>
          </reference>
        </references>
      </pivotArea>
    </format>
    <format dxfId="1838">
      <pivotArea field="0" dataOnly="0" labelOnly="1" grandRow="1" outline="0" axis="axisRow" fieldPosition="0">
        <references count="1">
          <reference field="4294967294" count="1" selected="0">
            <x v="21"/>
          </reference>
        </references>
      </pivotArea>
    </format>
    <format dxfId="1839">
      <pivotArea field="0" dataOnly="0" labelOnly="1" grandRow="1" outline="0" axis="axisRow" fieldPosition="0">
        <references count="1">
          <reference field="4294967294" count="1" selected="0">
            <x v="22"/>
          </reference>
        </references>
      </pivotArea>
    </format>
    <format dxfId="1840">
      <pivotArea field="0" dataOnly="0" labelOnly="1" grandRow="1" outline="0" axis="axisRow" fieldPosition="0">
        <references count="1">
          <reference field="4294967294" count="1" selected="0">
            <x v="23"/>
          </reference>
        </references>
      </pivotArea>
    </format>
    <format dxfId="1841">
      <pivotArea field="0" dataOnly="0" labelOnly="1" grandRow="1" outline="0" axis="axisRow" fieldPosition="0">
        <references count="1">
          <reference field="4294967294" count="1" selected="0">
            <x v="24"/>
          </reference>
        </references>
      </pivotArea>
    </format>
    <format dxfId="1842">
      <pivotArea field="0" dataOnly="0" labelOnly="1" grandRow="1" outline="0" axis="axisRow" fieldPosition="0">
        <references count="1">
          <reference field="4294967294" count="1" selected="0">
            <x v="25"/>
          </reference>
        </references>
      </pivotArea>
    </format>
    <format dxfId="1843">
      <pivotArea field="0" dataOnly="0" labelOnly="1" grandRow="1" outline="0" axis="axisRow" fieldPosition="0">
        <references count="1">
          <reference field="4294967294" count="1" selected="0">
            <x v="26"/>
          </reference>
        </references>
      </pivotArea>
    </format>
    <format dxfId="1844">
      <pivotArea field="0" dataOnly="0" labelOnly="1" grandRow="1" outline="0" axis="axisRow" fieldPosition="0">
        <references count="1">
          <reference field="4294967294" count="1" selected="0">
            <x v="27"/>
          </reference>
        </references>
      </pivotArea>
    </format>
    <format dxfId="1845">
      <pivotArea field="0" dataOnly="0" labelOnly="1" grandRow="1" outline="0" axis="axisRow" fieldPosition="0">
        <references count="1">
          <reference field="4294967294" count="1" selected="0">
            <x v="28"/>
          </reference>
        </references>
      </pivotArea>
    </format>
    <format dxfId="1846">
      <pivotArea field="0" dataOnly="0" labelOnly="1" grandRow="1" outline="0" axis="axisRow" fieldPosition="0">
        <references count="1">
          <reference field="4294967294" count="1" selected="0">
            <x v="29"/>
          </reference>
        </references>
      </pivotArea>
    </format>
    <format dxfId="1847">
      <pivotArea field="0" dataOnly="0" labelOnly="1" grandRow="1" outline="0" axis="axisRow" fieldPosition="0">
        <references count="1">
          <reference field="4294967294" count="1" selected="0">
            <x v="30"/>
          </reference>
        </references>
      </pivotArea>
    </format>
    <format dxfId="1848">
      <pivotArea field="0" dataOnly="0" labelOnly="1" grandRow="1" outline="0" axis="axisRow" fieldPosition="0">
        <references count="1">
          <reference field="4294967294" count="1" selected="0">
            <x v="31"/>
          </reference>
        </references>
      </pivotArea>
    </format>
    <format dxfId="1849">
      <pivotArea field="0" dataOnly="0" labelOnly="1" grandRow="1" outline="0" axis="axisRow" fieldPosition="0">
        <references count="1">
          <reference field="4294967294" count="1" selected="0">
            <x v="32"/>
          </reference>
        </references>
      </pivotArea>
    </format>
    <format dxfId="1850">
      <pivotArea field="0" dataOnly="0" labelOnly="1" grandRow="1" outline="0" axis="axisRow" fieldPosition="0">
        <references count="1">
          <reference field="4294967294" count="1" selected="0">
            <x v="33"/>
          </reference>
        </references>
      </pivotArea>
    </format>
    <format dxfId="1851">
      <pivotArea field="0" dataOnly="0" labelOnly="1" grandRow="1" outline="0" axis="axisRow" fieldPosition="0">
        <references count="1">
          <reference field="4294967294" count="1" selected="0">
            <x v="34"/>
          </reference>
        </references>
      </pivotArea>
    </format>
    <format dxfId="1852">
      <pivotArea field="0" dataOnly="0" labelOnly="1" grandRow="1" outline="0" axis="axisRow" fieldPosition="0">
        <references count="1">
          <reference field="4294967294" count="1" selected="0">
            <x v="35"/>
          </reference>
        </references>
      </pivotArea>
    </format>
    <format dxfId="1853">
      <pivotArea field="0" dataOnly="0" labelOnly="1" grandRow="1" outline="0" axis="axisRow" fieldPosition="0">
        <references count="1">
          <reference field="4294967294" count="1" selected="0">
            <x v="0"/>
          </reference>
        </references>
      </pivotArea>
    </format>
    <format dxfId="1854">
      <pivotArea field="0" dataOnly="0" labelOnly="1" grandRow="1" outline="0" axis="axisRow" fieldPosition="0">
        <references count="1">
          <reference field="4294967294" count="1" selected="0">
            <x v="1"/>
          </reference>
        </references>
      </pivotArea>
    </format>
    <format dxfId="1855">
      <pivotArea field="0" dataOnly="0" labelOnly="1" grandRow="1" outline="0" axis="axisRow" fieldPosition="0">
        <references count="1">
          <reference field="4294967294" count="1" selected="0">
            <x v="2"/>
          </reference>
        </references>
      </pivotArea>
    </format>
    <format dxfId="1856">
      <pivotArea field="0" dataOnly="0" labelOnly="1" grandRow="1" outline="0" axis="axisRow" fieldPosition="0">
        <references count="1">
          <reference field="4294967294" count="1" selected="0">
            <x v="3"/>
          </reference>
        </references>
      </pivotArea>
    </format>
    <format dxfId="1857">
      <pivotArea field="0" dataOnly="0" labelOnly="1" grandRow="1" outline="0" axis="axisRow" fieldPosition="0">
        <references count="1">
          <reference field="4294967294" count="1" selected="0">
            <x v="4"/>
          </reference>
        </references>
      </pivotArea>
    </format>
    <format dxfId="1858">
      <pivotArea field="0" dataOnly="0" labelOnly="1" grandRow="1" outline="0" axis="axisRow" fieldPosition="0">
        <references count="1">
          <reference field="4294967294" count="1" selected="0">
            <x v="5"/>
          </reference>
        </references>
      </pivotArea>
    </format>
    <format dxfId="1859">
      <pivotArea field="0" dataOnly="0" labelOnly="1" grandRow="1" outline="0" axis="axisRow" fieldPosition="0">
        <references count="1">
          <reference field="4294967294" count="1" selected="0">
            <x v="6"/>
          </reference>
        </references>
      </pivotArea>
    </format>
    <format dxfId="1860">
      <pivotArea field="0" dataOnly="0" labelOnly="1" grandRow="1" outline="0" axis="axisRow" fieldPosition="0">
        <references count="1">
          <reference field="4294967294" count="1" selected="0">
            <x v="7"/>
          </reference>
        </references>
      </pivotArea>
    </format>
    <format dxfId="1861">
      <pivotArea field="0" dataOnly="0" labelOnly="1" grandRow="1" outline="0" axis="axisRow" fieldPosition="0">
        <references count="1">
          <reference field="4294967294" count="1" selected="0">
            <x v="8"/>
          </reference>
        </references>
      </pivotArea>
    </format>
    <format dxfId="1862">
      <pivotArea field="0" dataOnly="0" labelOnly="1" grandRow="1" outline="0" axis="axisRow" fieldPosition="0">
        <references count="1">
          <reference field="4294967294" count="1" selected="0">
            <x v="9"/>
          </reference>
        </references>
      </pivotArea>
    </format>
    <format dxfId="1863">
      <pivotArea field="0" dataOnly="0" labelOnly="1" grandRow="1" outline="0" axis="axisRow" fieldPosition="0">
        <references count="1">
          <reference field="4294967294" count="1" selected="0">
            <x v="10"/>
          </reference>
        </references>
      </pivotArea>
    </format>
    <format dxfId="1864">
      <pivotArea field="0" dataOnly="0" labelOnly="1" grandRow="1" outline="0" axis="axisRow" fieldPosition="0">
        <references count="1">
          <reference field="4294967294" count="1" selected="0">
            <x v="11"/>
          </reference>
        </references>
      </pivotArea>
    </format>
    <format dxfId="1865">
      <pivotArea field="0" dataOnly="0" labelOnly="1" grandRow="1" outline="0" axis="axisRow" fieldPosition="0">
        <references count="1">
          <reference field="4294967294" count="1" selected="0">
            <x v="12"/>
          </reference>
        </references>
      </pivotArea>
    </format>
    <format dxfId="1866">
      <pivotArea field="0" dataOnly="0" labelOnly="1" grandRow="1" outline="0" axis="axisRow" fieldPosition="0">
        <references count="1">
          <reference field="4294967294" count="1" selected="0">
            <x v="13"/>
          </reference>
        </references>
      </pivotArea>
    </format>
    <format dxfId="1867">
      <pivotArea field="0" dataOnly="0" labelOnly="1" grandRow="1" outline="0" axis="axisRow" fieldPosition="0">
        <references count="1">
          <reference field="4294967294" count="1" selected="0">
            <x v="14"/>
          </reference>
        </references>
      </pivotArea>
    </format>
    <format dxfId="1868">
      <pivotArea field="0" dataOnly="0" labelOnly="1" grandRow="1" outline="0" axis="axisRow" fieldPosition="0">
        <references count="1">
          <reference field="4294967294" count="1" selected="0">
            <x v="15"/>
          </reference>
        </references>
      </pivotArea>
    </format>
    <format dxfId="1869">
      <pivotArea field="0" dataOnly="0" labelOnly="1" grandRow="1" outline="0" axis="axisRow" fieldPosition="0">
        <references count="1">
          <reference field="4294967294" count="1" selected="0">
            <x v="16"/>
          </reference>
        </references>
      </pivotArea>
    </format>
    <format dxfId="1870">
      <pivotArea field="0" dataOnly="0" labelOnly="1" grandRow="1" outline="0" axis="axisRow" fieldPosition="0">
        <references count="1">
          <reference field="4294967294" count="1" selected="0">
            <x v="17"/>
          </reference>
        </references>
      </pivotArea>
    </format>
    <format dxfId="1871">
      <pivotArea field="0" dataOnly="0" labelOnly="1" grandRow="1" outline="0" axis="axisRow" fieldPosition="0">
        <references count="1">
          <reference field="4294967294" count="1" selected="0">
            <x v="18"/>
          </reference>
        </references>
      </pivotArea>
    </format>
    <format dxfId="1872">
      <pivotArea field="0" dataOnly="0" labelOnly="1" grandRow="1" outline="0" axis="axisRow" fieldPosition="0">
        <references count="1">
          <reference field="4294967294" count="1" selected="0">
            <x v="19"/>
          </reference>
        </references>
      </pivotArea>
    </format>
    <format dxfId="1873">
      <pivotArea field="0" dataOnly="0" labelOnly="1" grandRow="1" outline="0" axis="axisRow" fieldPosition="0">
        <references count="1">
          <reference field="4294967294" count="1" selected="0">
            <x v="20"/>
          </reference>
        </references>
      </pivotArea>
    </format>
    <format dxfId="1874">
      <pivotArea field="0" dataOnly="0" labelOnly="1" grandRow="1" outline="0" axis="axisRow" fieldPosition="0">
        <references count="1">
          <reference field="4294967294" count="1" selected="0">
            <x v="21"/>
          </reference>
        </references>
      </pivotArea>
    </format>
    <format dxfId="1875">
      <pivotArea field="0" dataOnly="0" labelOnly="1" grandRow="1" outline="0" axis="axisRow" fieldPosition="0">
        <references count="1">
          <reference field="4294967294" count="1" selected="0">
            <x v="22"/>
          </reference>
        </references>
      </pivotArea>
    </format>
    <format dxfId="1876">
      <pivotArea field="0" dataOnly="0" labelOnly="1" grandRow="1" outline="0" axis="axisRow" fieldPosition="0">
        <references count="1">
          <reference field="4294967294" count="1" selected="0">
            <x v="23"/>
          </reference>
        </references>
      </pivotArea>
    </format>
    <format dxfId="1877">
      <pivotArea field="0" dataOnly="0" labelOnly="1" grandRow="1" outline="0" axis="axisRow" fieldPosition="0">
        <references count="1">
          <reference field="4294967294" count="1" selected="0">
            <x v="24"/>
          </reference>
        </references>
      </pivotArea>
    </format>
    <format dxfId="1878">
      <pivotArea field="0" dataOnly="0" labelOnly="1" grandRow="1" outline="0" axis="axisRow" fieldPosition="0">
        <references count="1">
          <reference field="4294967294" count="1" selected="0">
            <x v="25"/>
          </reference>
        </references>
      </pivotArea>
    </format>
    <format dxfId="1879">
      <pivotArea field="0" dataOnly="0" labelOnly="1" grandRow="1" outline="0" axis="axisRow" fieldPosition="0">
        <references count="1">
          <reference field="4294967294" count="1" selected="0">
            <x v="26"/>
          </reference>
        </references>
      </pivotArea>
    </format>
    <format dxfId="1880">
      <pivotArea field="0" dataOnly="0" labelOnly="1" grandRow="1" outline="0" axis="axisRow" fieldPosition="0">
        <references count="1">
          <reference field="4294967294" count="1" selected="0">
            <x v="27"/>
          </reference>
        </references>
      </pivotArea>
    </format>
    <format dxfId="1881">
      <pivotArea field="0" dataOnly="0" labelOnly="1" grandRow="1" outline="0" axis="axisRow" fieldPosition="0">
        <references count="1">
          <reference field="4294967294" count="1" selected="0">
            <x v="28"/>
          </reference>
        </references>
      </pivotArea>
    </format>
    <format dxfId="1882">
      <pivotArea field="0" dataOnly="0" labelOnly="1" grandRow="1" outline="0" axis="axisRow" fieldPosition="0">
        <references count="1">
          <reference field="4294967294" count="1" selected="0">
            <x v="29"/>
          </reference>
        </references>
      </pivotArea>
    </format>
    <format dxfId="1883">
      <pivotArea field="0" dataOnly="0" labelOnly="1" grandRow="1" outline="0" axis="axisRow" fieldPosition="0">
        <references count="1">
          <reference field="4294967294" count="1" selected="0">
            <x v="30"/>
          </reference>
        </references>
      </pivotArea>
    </format>
    <format dxfId="1884">
      <pivotArea field="0" dataOnly="0" labelOnly="1" grandRow="1" outline="0" axis="axisRow" fieldPosition="0">
        <references count="1">
          <reference field="4294967294" count="1" selected="0">
            <x v="31"/>
          </reference>
        </references>
      </pivotArea>
    </format>
    <format dxfId="1885">
      <pivotArea field="0" dataOnly="0" labelOnly="1" grandRow="1" outline="0" axis="axisRow" fieldPosition="0">
        <references count="1">
          <reference field="4294967294" count="1" selected="0">
            <x v="32"/>
          </reference>
        </references>
      </pivotArea>
    </format>
    <format dxfId="1886">
      <pivotArea field="0" dataOnly="0" labelOnly="1" grandRow="1" outline="0" axis="axisRow" fieldPosition="0">
        <references count="1">
          <reference field="4294967294" count="1" selected="0">
            <x v="33"/>
          </reference>
        </references>
      </pivotArea>
    </format>
    <format dxfId="1887">
      <pivotArea field="0" dataOnly="0" labelOnly="1" grandRow="1" outline="0" axis="axisRow" fieldPosition="0">
        <references count="1">
          <reference field="4294967294" count="1" selected="0">
            <x v="34"/>
          </reference>
        </references>
      </pivotArea>
    </format>
    <format dxfId="1888">
      <pivotArea field="0" dataOnly="0" labelOnly="1" grandRow="1" outline="0" axis="axisRow" fieldPosition="0">
        <references count="1">
          <reference field="4294967294" count="1" selected="0">
            <x v="35"/>
          </reference>
        </references>
      </pivotArea>
    </format>
    <format dxfId="1889">
      <pivotArea field="0" dataOnly="0" labelOnly="1" grandRow="1" outline="0" axis="axisRow" fieldPosition="0">
        <references count="1">
          <reference field="4294967294" count="1" selected="0">
            <x v="0"/>
          </reference>
        </references>
      </pivotArea>
    </format>
    <format dxfId="1890">
      <pivotArea field="0" dataOnly="0" labelOnly="1" grandRow="1" outline="0" axis="axisRow" fieldPosition="0">
        <references count="1">
          <reference field="4294967294" count="1" selected="0">
            <x v="1"/>
          </reference>
        </references>
      </pivotArea>
    </format>
    <format dxfId="1891">
      <pivotArea field="0" dataOnly="0" labelOnly="1" grandRow="1" outline="0" axis="axisRow" fieldPosition="0">
        <references count="1">
          <reference field="4294967294" count="1" selected="0">
            <x v="2"/>
          </reference>
        </references>
      </pivotArea>
    </format>
    <format dxfId="1892">
      <pivotArea field="0" dataOnly="0" labelOnly="1" grandRow="1" outline="0" axis="axisRow" fieldPosition="0">
        <references count="1">
          <reference field="4294967294" count="1" selected="0">
            <x v="3"/>
          </reference>
        </references>
      </pivotArea>
    </format>
    <format dxfId="1893">
      <pivotArea field="0" dataOnly="0" labelOnly="1" grandRow="1" outline="0" axis="axisRow" fieldPosition="0">
        <references count="1">
          <reference field="4294967294" count="1" selected="0">
            <x v="4"/>
          </reference>
        </references>
      </pivotArea>
    </format>
    <format dxfId="1894">
      <pivotArea field="0" dataOnly="0" labelOnly="1" grandRow="1" outline="0" axis="axisRow" fieldPosition="0">
        <references count="1">
          <reference field="4294967294" count="1" selected="0">
            <x v="5"/>
          </reference>
        </references>
      </pivotArea>
    </format>
    <format dxfId="1895">
      <pivotArea field="0" dataOnly="0" labelOnly="1" grandRow="1" outline="0" axis="axisRow" fieldPosition="0">
        <references count="1">
          <reference field="4294967294" count="1" selected="0">
            <x v="6"/>
          </reference>
        </references>
      </pivotArea>
    </format>
    <format dxfId="1896">
      <pivotArea field="0" dataOnly="0" labelOnly="1" grandRow="1" outline="0" axis="axisRow" fieldPosition="0">
        <references count="1">
          <reference field="4294967294" count="1" selected="0">
            <x v="7"/>
          </reference>
        </references>
      </pivotArea>
    </format>
    <format dxfId="1897">
      <pivotArea field="0" dataOnly="0" labelOnly="1" grandRow="1" outline="0" axis="axisRow" fieldPosition="0">
        <references count="1">
          <reference field="4294967294" count="1" selected="0">
            <x v="8"/>
          </reference>
        </references>
      </pivotArea>
    </format>
    <format dxfId="1898">
      <pivotArea field="0" dataOnly="0" labelOnly="1" grandRow="1" outline="0" axis="axisRow" fieldPosition="0">
        <references count="1">
          <reference field="4294967294" count="1" selected="0">
            <x v="9"/>
          </reference>
        </references>
      </pivotArea>
    </format>
    <format dxfId="1899">
      <pivotArea field="0" dataOnly="0" labelOnly="1" grandRow="1" outline="0" axis="axisRow" fieldPosition="0">
        <references count="1">
          <reference field="4294967294" count="1" selected="0">
            <x v="10"/>
          </reference>
        </references>
      </pivotArea>
    </format>
    <format dxfId="1900">
      <pivotArea field="0" dataOnly="0" labelOnly="1" grandRow="1" outline="0" axis="axisRow" fieldPosition="0">
        <references count="1">
          <reference field="4294967294" count="1" selected="0">
            <x v="11"/>
          </reference>
        </references>
      </pivotArea>
    </format>
    <format dxfId="1901">
      <pivotArea field="0" dataOnly="0" labelOnly="1" grandRow="1" outline="0" axis="axisRow" fieldPosition="0">
        <references count="1">
          <reference field="4294967294" count="1" selected="0">
            <x v="12"/>
          </reference>
        </references>
      </pivotArea>
    </format>
    <format dxfId="1902">
      <pivotArea field="0" dataOnly="0" labelOnly="1" grandRow="1" outline="0" axis="axisRow" fieldPosition="0">
        <references count="1">
          <reference field="4294967294" count="1" selected="0">
            <x v="13"/>
          </reference>
        </references>
      </pivotArea>
    </format>
    <format dxfId="1903">
      <pivotArea field="0" dataOnly="0" labelOnly="1" grandRow="1" outline="0" axis="axisRow" fieldPosition="0">
        <references count="1">
          <reference field="4294967294" count="1" selected="0">
            <x v="14"/>
          </reference>
        </references>
      </pivotArea>
    </format>
    <format dxfId="1904">
      <pivotArea field="0" dataOnly="0" labelOnly="1" grandRow="1" outline="0" axis="axisRow" fieldPosition="0">
        <references count="1">
          <reference field="4294967294" count="1" selected="0">
            <x v="15"/>
          </reference>
        </references>
      </pivotArea>
    </format>
    <format dxfId="1905">
      <pivotArea field="0" dataOnly="0" labelOnly="1" grandRow="1" outline="0" axis="axisRow" fieldPosition="0">
        <references count="1">
          <reference field="4294967294" count="1" selected="0">
            <x v="16"/>
          </reference>
        </references>
      </pivotArea>
    </format>
    <format dxfId="1906">
      <pivotArea field="0" dataOnly="0" labelOnly="1" grandRow="1" outline="0" axis="axisRow" fieldPosition="0">
        <references count="1">
          <reference field="4294967294" count="1" selected="0">
            <x v="17"/>
          </reference>
        </references>
      </pivotArea>
    </format>
    <format dxfId="1907">
      <pivotArea field="0" dataOnly="0" labelOnly="1" grandRow="1" outline="0" axis="axisRow" fieldPosition="0">
        <references count="1">
          <reference field="4294967294" count="1" selected="0">
            <x v="18"/>
          </reference>
        </references>
      </pivotArea>
    </format>
    <format dxfId="1908">
      <pivotArea field="0" dataOnly="0" labelOnly="1" grandRow="1" outline="0" axis="axisRow" fieldPosition="0">
        <references count="1">
          <reference field="4294967294" count="1" selected="0">
            <x v="19"/>
          </reference>
        </references>
      </pivotArea>
    </format>
    <format dxfId="1909">
      <pivotArea field="0" dataOnly="0" labelOnly="1" grandRow="1" outline="0" axis="axisRow" fieldPosition="0">
        <references count="1">
          <reference field="4294967294" count="1" selected="0">
            <x v="20"/>
          </reference>
        </references>
      </pivotArea>
    </format>
    <format dxfId="1910">
      <pivotArea field="0" dataOnly="0" labelOnly="1" grandRow="1" outline="0" axis="axisRow" fieldPosition="0">
        <references count="1">
          <reference field="4294967294" count="1" selected="0">
            <x v="21"/>
          </reference>
        </references>
      </pivotArea>
    </format>
    <format dxfId="1911">
      <pivotArea field="0" dataOnly="0" labelOnly="1" grandRow="1" outline="0" axis="axisRow" fieldPosition="0">
        <references count="1">
          <reference field="4294967294" count="1" selected="0">
            <x v="22"/>
          </reference>
        </references>
      </pivotArea>
    </format>
    <format dxfId="1912">
      <pivotArea field="0" dataOnly="0" labelOnly="1" grandRow="1" outline="0" axis="axisRow" fieldPosition="0">
        <references count="1">
          <reference field="4294967294" count="1" selected="0">
            <x v="23"/>
          </reference>
        </references>
      </pivotArea>
    </format>
    <format dxfId="1913">
      <pivotArea field="0" dataOnly="0" labelOnly="1" grandRow="1" outline="0" axis="axisRow" fieldPosition="0">
        <references count="1">
          <reference field="4294967294" count="1" selected="0">
            <x v="24"/>
          </reference>
        </references>
      </pivotArea>
    </format>
    <format dxfId="1914">
      <pivotArea field="0" dataOnly="0" labelOnly="1" grandRow="1" outline="0" axis="axisRow" fieldPosition="0">
        <references count="1">
          <reference field="4294967294" count="1" selected="0">
            <x v="25"/>
          </reference>
        </references>
      </pivotArea>
    </format>
    <format dxfId="1915">
      <pivotArea field="0" dataOnly="0" labelOnly="1" grandRow="1" outline="0" axis="axisRow" fieldPosition="0">
        <references count="1">
          <reference field="4294967294" count="1" selected="0">
            <x v="26"/>
          </reference>
        </references>
      </pivotArea>
    </format>
    <format dxfId="1916">
      <pivotArea field="0" dataOnly="0" labelOnly="1" grandRow="1" outline="0" axis="axisRow" fieldPosition="0">
        <references count="1">
          <reference field="4294967294" count="1" selected="0">
            <x v="27"/>
          </reference>
        </references>
      </pivotArea>
    </format>
    <format dxfId="1917">
      <pivotArea field="0" dataOnly="0" labelOnly="1" grandRow="1" outline="0" axis="axisRow" fieldPosition="0">
        <references count="1">
          <reference field="4294967294" count="1" selected="0">
            <x v="28"/>
          </reference>
        </references>
      </pivotArea>
    </format>
    <format dxfId="1918">
      <pivotArea field="0" dataOnly="0" labelOnly="1" grandRow="1" outline="0" axis="axisRow" fieldPosition="0">
        <references count="1">
          <reference field="4294967294" count="1" selected="0">
            <x v="29"/>
          </reference>
        </references>
      </pivotArea>
    </format>
    <format dxfId="1919">
      <pivotArea field="0" dataOnly="0" labelOnly="1" grandRow="1" outline="0" axis="axisRow" fieldPosition="0">
        <references count="1">
          <reference field="4294967294" count="1" selected="0">
            <x v="30"/>
          </reference>
        </references>
      </pivotArea>
    </format>
    <format dxfId="1920">
      <pivotArea field="0" dataOnly="0" labelOnly="1" grandRow="1" outline="0" axis="axisRow" fieldPosition="0">
        <references count="1">
          <reference field="4294967294" count="1" selected="0">
            <x v="31"/>
          </reference>
        </references>
      </pivotArea>
    </format>
    <format dxfId="1921">
      <pivotArea field="0" dataOnly="0" labelOnly="1" grandRow="1" outline="0" axis="axisRow" fieldPosition="0">
        <references count="1">
          <reference field="4294967294" count="1" selected="0">
            <x v="32"/>
          </reference>
        </references>
      </pivotArea>
    </format>
    <format dxfId="1922">
      <pivotArea field="0" dataOnly="0" labelOnly="1" grandRow="1" outline="0" axis="axisRow" fieldPosition="0">
        <references count="1">
          <reference field="4294967294" count="1" selected="0">
            <x v="33"/>
          </reference>
        </references>
      </pivotArea>
    </format>
    <format dxfId="1923">
      <pivotArea field="0" dataOnly="0" labelOnly="1" grandRow="1" outline="0" axis="axisRow" fieldPosition="0">
        <references count="1">
          <reference field="4294967294" count="1" selected="0">
            <x v="34"/>
          </reference>
        </references>
      </pivotArea>
    </format>
    <format dxfId="1924">
      <pivotArea field="0" dataOnly="0" labelOnly="1" grandRow="1" outline="0" axis="axisRow" fieldPosition="0">
        <references count="1">
          <reference field="4294967294" count="1" selected="0">
            <x v="35"/>
          </reference>
        </references>
      </pivotArea>
    </format>
    <format dxfId="1925">
      <pivotArea field="0" dataOnly="0" labelOnly="1" grandRow="1" outline="0" axis="axisRow" fieldPosition="0">
        <references count="1">
          <reference field="4294967294" count="1" selected="0">
            <x v="0"/>
          </reference>
        </references>
      </pivotArea>
    </format>
    <format dxfId="1926">
      <pivotArea field="0" dataOnly="0" labelOnly="1" grandRow="1" outline="0" axis="axisRow" fieldPosition="0">
        <references count="1">
          <reference field="4294967294" count="1" selected="0">
            <x v="1"/>
          </reference>
        </references>
      </pivotArea>
    </format>
    <format dxfId="1927">
      <pivotArea field="0" dataOnly="0" labelOnly="1" grandRow="1" outline="0" axis="axisRow" fieldPosition="0">
        <references count="1">
          <reference field="4294967294" count="1" selected="0">
            <x v="2"/>
          </reference>
        </references>
      </pivotArea>
    </format>
    <format dxfId="1928">
      <pivotArea field="0" dataOnly="0" labelOnly="1" grandRow="1" outline="0" axis="axisRow" fieldPosition="0">
        <references count="1">
          <reference field="4294967294" count="1" selected="0">
            <x v="3"/>
          </reference>
        </references>
      </pivotArea>
    </format>
    <format dxfId="1929">
      <pivotArea field="0" dataOnly="0" labelOnly="1" grandRow="1" outline="0" axis="axisRow" fieldPosition="0">
        <references count="1">
          <reference field="4294967294" count="1" selected="0">
            <x v="4"/>
          </reference>
        </references>
      </pivotArea>
    </format>
    <format dxfId="1930">
      <pivotArea field="0" dataOnly="0" labelOnly="1" grandRow="1" outline="0" axis="axisRow" fieldPosition="0">
        <references count="1">
          <reference field="4294967294" count="1" selected="0">
            <x v="5"/>
          </reference>
        </references>
      </pivotArea>
    </format>
    <format dxfId="1931">
      <pivotArea field="0" dataOnly="0" labelOnly="1" grandRow="1" outline="0" axis="axisRow" fieldPosition="0">
        <references count="1">
          <reference field="4294967294" count="1" selected="0">
            <x v="6"/>
          </reference>
        </references>
      </pivotArea>
    </format>
    <format dxfId="1932">
      <pivotArea field="0" dataOnly="0" labelOnly="1" grandRow="1" outline="0" axis="axisRow" fieldPosition="0">
        <references count="1">
          <reference field="4294967294" count="1" selected="0">
            <x v="7"/>
          </reference>
        </references>
      </pivotArea>
    </format>
    <format dxfId="1933">
      <pivotArea field="0" dataOnly="0" labelOnly="1" grandRow="1" outline="0" axis="axisRow" fieldPosition="0">
        <references count="1">
          <reference field="4294967294" count="1" selected="0">
            <x v="8"/>
          </reference>
        </references>
      </pivotArea>
    </format>
    <format dxfId="1934">
      <pivotArea field="0" dataOnly="0" labelOnly="1" grandRow="1" outline="0" axis="axisRow" fieldPosition="0">
        <references count="1">
          <reference field="4294967294" count="1" selected="0">
            <x v="9"/>
          </reference>
        </references>
      </pivotArea>
    </format>
    <format dxfId="1935">
      <pivotArea field="0" dataOnly="0" labelOnly="1" grandRow="1" outline="0" axis="axisRow" fieldPosition="0">
        <references count="1">
          <reference field="4294967294" count="1" selected="0">
            <x v="10"/>
          </reference>
        </references>
      </pivotArea>
    </format>
    <format dxfId="1936">
      <pivotArea field="0" dataOnly="0" labelOnly="1" grandRow="1" outline="0" axis="axisRow" fieldPosition="0">
        <references count="1">
          <reference field="4294967294" count="1" selected="0">
            <x v="11"/>
          </reference>
        </references>
      </pivotArea>
    </format>
    <format dxfId="1937">
      <pivotArea field="0" dataOnly="0" labelOnly="1" grandRow="1" outline="0" axis="axisRow" fieldPosition="0">
        <references count="1">
          <reference field="4294967294" count="1" selected="0">
            <x v="12"/>
          </reference>
        </references>
      </pivotArea>
    </format>
    <format dxfId="1938">
      <pivotArea field="0" dataOnly="0" labelOnly="1" grandRow="1" outline="0" axis="axisRow" fieldPosition="0">
        <references count="1">
          <reference field="4294967294" count="1" selected="0">
            <x v="13"/>
          </reference>
        </references>
      </pivotArea>
    </format>
    <format dxfId="1939">
      <pivotArea field="0" dataOnly="0" labelOnly="1" grandRow="1" outline="0" axis="axisRow" fieldPosition="0">
        <references count="1">
          <reference field="4294967294" count="1" selected="0">
            <x v="14"/>
          </reference>
        </references>
      </pivotArea>
    </format>
    <format dxfId="1940">
      <pivotArea field="0" dataOnly="0" labelOnly="1" grandRow="1" outline="0" axis="axisRow" fieldPosition="0">
        <references count="1">
          <reference field="4294967294" count="1" selected="0">
            <x v="15"/>
          </reference>
        </references>
      </pivotArea>
    </format>
    <format dxfId="1941">
      <pivotArea field="0" dataOnly="0" labelOnly="1" grandRow="1" outline="0" axis="axisRow" fieldPosition="0">
        <references count="1">
          <reference field="4294967294" count="1" selected="0">
            <x v="16"/>
          </reference>
        </references>
      </pivotArea>
    </format>
    <format dxfId="1942">
      <pivotArea field="0" dataOnly="0" labelOnly="1" grandRow="1" outline="0" axis="axisRow" fieldPosition="0">
        <references count="1">
          <reference field="4294967294" count="1" selected="0">
            <x v="17"/>
          </reference>
        </references>
      </pivotArea>
    </format>
    <format dxfId="1943">
      <pivotArea field="0" dataOnly="0" labelOnly="1" grandRow="1" outline="0" axis="axisRow" fieldPosition="0">
        <references count="1">
          <reference field="4294967294" count="1" selected="0">
            <x v="18"/>
          </reference>
        </references>
      </pivotArea>
    </format>
    <format dxfId="1944">
      <pivotArea field="0" dataOnly="0" labelOnly="1" grandRow="1" outline="0" axis="axisRow" fieldPosition="0">
        <references count="1">
          <reference field="4294967294" count="1" selected="0">
            <x v="19"/>
          </reference>
        </references>
      </pivotArea>
    </format>
    <format dxfId="1945">
      <pivotArea field="0" dataOnly="0" labelOnly="1" grandRow="1" outline="0" axis="axisRow" fieldPosition="0">
        <references count="1">
          <reference field="4294967294" count="1" selected="0">
            <x v="20"/>
          </reference>
        </references>
      </pivotArea>
    </format>
    <format dxfId="1946">
      <pivotArea field="0" dataOnly="0" labelOnly="1" grandRow="1" outline="0" axis="axisRow" fieldPosition="0">
        <references count="1">
          <reference field="4294967294" count="1" selected="0">
            <x v="21"/>
          </reference>
        </references>
      </pivotArea>
    </format>
    <format dxfId="1947">
      <pivotArea field="0" dataOnly="0" labelOnly="1" grandRow="1" outline="0" axis="axisRow" fieldPosition="0">
        <references count="1">
          <reference field="4294967294" count="1" selected="0">
            <x v="22"/>
          </reference>
        </references>
      </pivotArea>
    </format>
    <format dxfId="1948">
      <pivotArea field="0" dataOnly="0" labelOnly="1" grandRow="1" outline="0" axis="axisRow" fieldPosition="0">
        <references count="1">
          <reference field="4294967294" count="1" selected="0">
            <x v="23"/>
          </reference>
        </references>
      </pivotArea>
    </format>
    <format dxfId="1949">
      <pivotArea field="0" dataOnly="0" labelOnly="1" grandRow="1" outline="0" axis="axisRow" fieldPosition="0">
        <references count="1">
          <reference field="4294967294" count="1" selected="0">
            <x v="24"/>
          </reference>
        </references>
      </pivotArea>
    </format>
    <format dxfId="1950">
      <pivotArea field="0" dataOnly="0" labelOnly="1" grandRow="1" outline="0" axis="axisRow" fieldPosition="0">
        <references count="1">
          <reference field="4294967294" count="1" selected="0">
            <x v="25"/>
          </reference>
        </references>
      </pivotArea>
    </format>
    <format dxfId="1951">
      <pivotArea field="0" dataOnly="0" labelOnly="1" grandRow="1" outline="0" axis="axisRow" fieldPosition="0">
        <references count="1">
          <reference field="4294967294" count="1" selected="0">
            <x v="26"/>
          </reference>
        </references>
      </pivotArea>
    </format>
    <format dxfId="1952">
      <pivotArea field="0" dataOnly="0" labelOnly="1" grandRow="1" outline="0" axis="axisRow" fieldPosition="0">
        <references count="1">
          <reference field="4294967294" count="1" selected="0">
            <x v="27"/>
          </reference>
        </references>
      </pivotArea>
    </format>
    <format dxfId="1953">
      <pivotArea field="0" dataOnly="0" labelOnly="1" grandRow="1" outline="0" axis="axisRow" fieldPosition="0">
        <references count="1">
          <reference field="4294967294" count="1" selected="0">
            <x v="28"/>
          </reference>
        </references>
      </pivotArea>
    </format>
    <format dxfId="1954">
      <pivotArea field="0" dataOnly="0" labelOnly="1" grandRow="1" outline="0" axis="axisRow" fieldPosition="0">
        <references count="1">
          <reference field="4294967294" count="1" selected="0">
            <x v="29"/>
          </reference>
        </references>
      </pivotArea>
    </format>
    <format dxfId="1955">
      <pivotArea field="0" dataOnly="0" labelOnly="1" grandRow="1" outline="0" axis="axisRow" fieldPosition="0">
        <references count="1">
          <reference field="4294967294" count="1" selected="0">
            <x v="30"/>
          </reference>
        </references>
      </pivotArea>
    </format>
    <format dxfId="1956">
      <pivotArea field="0" dataOnly="0" labelOnly="1" grandRow="1" outline="0" axis="axisRow" fieldPosition="0">
        <references count="1">
          <reference field="4294967294" count="1" selected="0">
            <x v="31"/>
          </reference>
        </references>
      </pivotArea>
    </format>
    <format dxfId="1957">
      <pivotArea field="0" dataOnly="0" labelOnly="1" grandRow="1" outline="0" axis="axisRow" fieldPosition="0">
        <references count="1">
          <reference field="4294967294" count="1" selected="0">
            <x v="32"/>
          </reference>
        </references>
      </pivotArea>
    </format>
    <format dxfId="1958">
      <pivotArea field="0" dataOnly="0" labelOnly="1" grandRow="1" outline="0" axis="axisRow" fieldPosition="0">
        <references count="1">
          <reference field="4294967294" count="1" selected="0">
            <x v="33"/>
          </reference>
        </references>
      </pivotArea>
    </format>
    <format dxfId="1959">
      <pivotArea field="0" dataOnly="0" labelOnly="1" grandRow="1" outline="0" axis="axisRow" fieldPosition="0">
        <references count="1">
          <reference field="4294967294" count="1" selected="0">
            <x v="34"/>
          </reference>
        </references>
      </pivotArea>
    </format>
    <format dxfId="1960">
      <pivotArea field="0" dataOnly="0" labelOnly="1" grandRow="1" outline="0" axis="axisRow" fieldPosition="0">
        <references count="1">
          <reference field="4294967294" count="1" selected="0">
            <x v="35"/>
          </reference>
        </references>
      </pivotArea>
    </format>
    <format dxfId="1961">
      <pivotArea field="0" dataOnly="0" labelOnly="1" grandRow="1" outline="0" axis="axisRow" fieldPosition="0">
        <references count="1">
          <reference field="4294967294" count="1" selected="0">
            <x v="0"/>
          </reference>
        </references>
      </pivotArea>
    </format>
    <format dxfId="1962">
      <pivotArea field="0" dataOnly="0" labelOnly="1" grandRow="1" outline="0" axis="axisRow" fieldPosition="0">
        <references count="1">
          <reference field="4294967294" count="1" selected="0">
            <x v="1"/>
          </reference>
        </references>
      </pivotArea>
    </format>
    <format dxfId="1963">
      <pivotArea field="0" dataOnly="0" labelOnly="1" grandRow="1" outline="0" axis="axisRow" fieldPosition="0">
        <references count="1">
          <reference field="4294967294" count="1" selected="0">
            <x v="2"/>
          </reference>
        </references>
      </pivotArea>
    </format>
    <format dxfId="1964">
      <pivotArea field="0" dataOnly="0" labelOnly="1" grandRow="1" outline="0" axis="axisRow" fieldPosition="0">
        <references count="1">
          <reference field="4294967294" count="1" selected="0">
            <x v="3"/>
          </reference>
        </references>
      </pivotArea>
    </format>
    <format dxfId="1965">
      <pivotArea field="0" dataOnly="0" labelOnly="1" grandRow="1" outline="0" axis="axisRow" fieldPosition="0">
        <references count="1">
          <reference field="4294967294" count="1" selected="0">
            <x v="4"/>
          </reference>
        </references>
      </pivotArea>
    </format>
    <format dxfId="1966">
      <pivotArea field="0" dataOnly="0" labelOnly="1" grandRow="1" outline="0" axis="axisRow" fieldPosition="0">
        <references count="1">
          <reference field="4294967294" count="1" selected="0">
            <x v="5"/>
          </reference>
        </references>
      </pivotArea>
    </format>
    <format dxfId="1967">
      <pivotArea field="0" dataOnly="0" labelOnly="1" grandRow="1" outline="0" axis="axisRow" fieldPosition="0">
        <references count="1">
          <reference field="4294967294" count="1" selected="0">
            <x v="6"/>
          </reference>
        </references>
      </pivotArea>
    </format>
    <format dxfId="1968">
      <pivotArea field="0" dataOnly="0" labelOnly="1" grandRow="1" outline="0" axis="axisRow" fieldPosition="0">
        <references count="1">
          <reference field="4294967294" count="1" selected="0">
            <x v="7"/>
          </reference>
        </references>
      </pivotArea>
    </format>
    <format dxfId="1969">
      <pivotArea field="0" dataOnly="0" labelOnly="1" grandRow="1" outline="0" axis="axisRow" fieldPosition="0">
        <references count="1">
          <reference field="4294967294" count="1" selected="0">
            <x v="8"/>
          </reference>
        </references>
      </pivotArea>
    </format>
    <format dxfId="1970">
      <pivotArea field="0" dataOnly="0" labelOnly="1" grandRow="1" outline="0" axis="axisRow" fieldPosition="0">
        <references count="1">
          <reference field="4294967294" count="1" selected="0">
            <x v="9"/>
          </reference>
        </references>
      </pivotArea>
    </format>
    <format dxfId="1971">
      <pivotArea field="0" dataOnly="0" labelOnly="1" grandRow="1" outline="0" axis="axisRow" fieldPosition="0">
        <references count="1">
          <reference field="4294967294" count="1" selected="0">
            <x v="10"/>
          </reference>
        </references>
      </pivotArea>
    </format>
    <format dxfId="1972">
      <pivotArea field="0" dataOnly="0" labelOnly="1" grandRow="1" outline="0" axis="axisRow" fieldPosition="0">
        <references count="1">
          <reference field="4294967294" count="1" selected="0">
            <x v="11"/>
          </reference>
        </references>
      </pivotArea>
    </format>
    <format dxfId="1973">
      <pivotArea field="0" dataOnly="0" labelOnly="1" grandRow="1" outline="0" axis="axisRow" fieldPosition="0">
        <references count="1">
          <reference field="4294967294" count="1" selected="0">
            <x v="12"/>
          </reference>
        </references>
      </pivotArea>
    </format>
    <format dxfId="1974">
      <pivotArea field="0" dataOnly="0" labelOnly="1" grandRow="1" outline="0" axis="axisRow" fieldPosition="0">
        <references count="1">
          <reference field="4294967294" count="1" selected="0">
            <x v="13"/>
          </reference>
        </references>
      </pivotArea>
    </format>
    <format dxfId="1975">
      <pivotArea field="0" dataOnly="0" labelOnly="1" grandRow="1" outline="0" axis="axisRow" fieldPosition="0">
        <references count="1">
          <reference field="4294967294" count="1" selected="0">
            <x v="14"/>
          </reference>
        </references>
      </pivotArea>
    </format>
    <format dxfId="1976">
      <pivotArea field="0" dataOnly="0" labelOnly="1" grandRow="1" outline="0" axis="axisRow" fieldPosition="0">
        <references count="1">
          <reference field="4294967294" count="1" selected="0">
            <x v="15"/>
          </reference>
        </references>
      </pivotArea>
    </format>
    <format dxfId="1977">
      <pivotArea field="0" dataOnly="0" labelOnly="1" grandRow="1" outline="0" axis="axisRow" fieldPosition="0">
        <references count="1">
          <reference field="4294967294" count="1" selected="0">
            <x v="16"/>
          </reference>
        </references>
      </pivotArea>
    </format>
    <format dxfId="1978">
      <pivotArea field="0" dataOnly="0" labelOnly="1" grandRow="1" outline="0" axis="axisRow" fieldPosition="0">
        <references count="1">
          <reference field="4294967294" count="1" selected="0">
            <x v="17"/>
          </reference>
        </references>
      </pivotArea>
    </format>
    <format dxfId="1979">
      <pivotArea field="0" dataOnly="0" labelOnly="1" grandRow="1" outline="0" axis="axisRow" fieldPosition="0">
        <references count="1">
          <reference field="4294967294" count="1" selected="0">
            <x v="18"/>
          </reference>
        </references>
      </pivotArea>
    </format>
    <format dxfId="1980">
      <pivotArea field="0" dataOnly="0" labelOnly="1" grandRow="1" outline="0" axis="axisRow" fieldPosition="0">
        <references count="1">
          <reference field="4294967294" count="1" selected="0">
            <x v="19"/>
          </reference>
        </references>
      </pivotArea>
    </format>
    <format dxfId="1981">
      <pivotArea field="0" dataOnly="0" labelOnly="1" grandRow="1" outline="0" axis="axisRow" fieldPosition="0">
        <references count="1">
          <reference field="4294967294" count="1" selected="0">
            <x v="20"/>
          </reference>
        </references>
      </pivotArea>
    </format>
    <format dxfId="1982">
      <pivotArea field="0" dataOnly="0" labelOnly="1" grandRow="1" outline="0" axis="axisRow" fieldPosition="0">
        <references count="1">
          <reference field="4294967294" count="1" selected="0">
            <x v="21"/>
          </reference>
        </references>
      </pivotArea>
    </format>
    <format dxfId="1983">
      <pivotArea field="0" dataOnly="0" labelOnly="1" grandRow="1" outline="0" axis="axisRow" fieldPosition="0">
        <references count="1">
          <reference field="4294967294" count="1" selected="0">
            <x v="22"/>
          </reference>
        </references>
      </pivotArea>
    </format>
    <format dxfId="1984">
      <pivotArea field="0" dataOnly="0" labelOnly="1" grandRow="1" outline="0" axis="axisRow" fieldPosition="0">
        <references count="1">
          <reference field="4294967294" count="1" selected="0">
            <x v="23"/>
          </reference>
        </references>
      </pivotArea>
    </format>
    <format dxfId="1985">
      <pivotArea field="0" dataOnly="0" labelOnly="1" grandRow="1" outline="0" axis="axisRow" fieldPosition="0">
        <references count="1">
          <reference field="4294967294" count="1" selected="0">
            <x v="24"/>
          </reference>
        </references>
      </pivotArea>
    </format>
    <format dxfId="1986">
      <pivotArea field="0" dataOnly="0" labelOnly="1" grandRow="1" outline="0" axis="axisRow" fieldPosition="0">
        <references count="1">
          <reference field="4294967294" count="1" selected="0">
            <x v="25"/>
          </reference>
        </references>
      </pivotArea>
    </format>
    <format dxfId="1987">
      <pivotArea field="0" dataOnly="0" labelOnly="1" grandRow="1" outline="0" axis="axisRow" fieldPosition="0">
        <references count="1">
          <reference field="4294967294" count="1" selected="0">
            <x v="26"/>
          </reference>
        </references>
      </pivotArea>
    </format>
    <format dxfId="1988">
      <pivotArea field="0" dataOnly="0" labelOnly="1" grandRow="1" outline="0" axis="axisRow" fieldPosition="0">
        <references count="1">
          <reference field="4294967294" count="1" selected="0">
            <x v="27"/>
          </reference>
        </references>
      </pivotArea>
    </format>
    <format dxfId="1989">
      <pivotArea field="0" dataOnly="0" labelOnly="1" grandRow="1" outline="0" axis="axisRow" fieldPosition="0">
        <references count="1">
          <reference field="4294967294" count="1" selected="0">
            <x v="28"/>
          </reference>
        </references>
      </pivotArea>
    </format>
    <format dxfId="1990">
      <pivotArea field="0" dataOnly="0" labelOnly="1" grandRow="1" outline="0" axis="axisRow" fieldPosition="0">
        <references count="1">
          <reference field="4294967294" count="1" selected="0">
            <x v="29"/>
          </reference>
        </references>
      </pivotArea>
    </format>
    <format dxfId="1991">
      <pivotArea field="0" dataOnly="0" labelOnly="1" grandRow="1" outline="0" axis="axisRow" fieldPosition="0">
        <references count="1">
          <reference field="4294967294" count="1" selected="0">
            <x v="30"/>
          </reference>
        </references>
      </pivotArea>
    </format>
    <format dxfId="1992">
      <pivotArea field="0" dataOnly="0" labelOnly="1" grandRow="1" outline="0" axis="axisRow" fieldPosition="0">
        <references count="1">
          <reference field="4294967294" count="1" selected="0">
            <x v="31"/>
          </reference>
        </references>
      </pivotArea>
    </format>
    <format dxfId="1993">
      <pivotArea field="0" dataOnly="0" labelOnly="1" grandRow="1" outline="0" axis="axisRow" fieldPosition="0">
        <references count="1">
          <reference field="4294967294" count="1" selected="0">
            <x v="32"/>
          </reference>
        </references>
      </pivotArea>
    </format>
    <format dxfId="1994">
      <pivotArea field="0" dataOnly="0" labelOnly="1" grandRow="1" outline="0" axis="axisRow" fieldPosition="0">
        <references count="1">
          <reference field="4294967294" count="1" selected="0">
            <x v="33"/>
          </reference>
        </references>
      </pivotArea>
    </format>
    <format dxfId="1995">
      <pivotArea field="0" dataOnly="0" labelOnly="1" grandRow="1" outline="0" axis="axisRow" fieldPosition="0">
        <references count="1">
          <reference field="4294967294" count="1" selected="0">
            <x v="34"/>
          </reference>
        </references>
      </pivotArea>
    </format>
    <format dxfId="1996">
      <pivotArea field="0" dataOnly="0" labelOnly="1" grandRow="1" outline="0" axis="axisRow" fieldPosition="0">
        <references count="1">
          <reference field="4294967294" count="1" selected="0">
            <x v="35"/>
          </reference>
        </references>
      </pivotArea>
    </format>
    <format dxfId="1997">
      <pivotArea field="0" dataOnly="0" labelOnly="1" grandRow="1" outline="0" axis="axisRow" fieldPosition="0">
        <references count="1">
          <reference field="4294967294" count="1" selected="0">
            <x v="0"/>
          </reference>
        </references>
      </pivotArea>
    </format>
    <format dxfId="1998">
      <pivotArea field="0" dataOnly="0" labelOnly="1" grandRow="1" outline="0" axis="axisRow" fieldPosition="0">
        <references count="1">
          <reference field="4294967294" count="1" selected="0">
            <x v="1"/>
          </reference>
        </references>
      </pivotArea>
    </format>
    <format dxfId="1999">
      <pivotArea field="0" dataOnly="0" labelOnly="1" grandRow="1" outline="0" axis="axisRow" fieldPosition="0">
        <references count="1">
          <reference field="4294967294" count="1" selected="0">
            <x v="2"/>
          </reference>
        </references>
      </pivotArea>
    </format>
    <format dxfId="2000">
      <pivotArea field="0" dataOnly="0" labelOnly="1" grandRow="1" outline="0" axis="axisRow" fieldPosition="0">
        <references count="1">
          <reference field="4294967294" count="1" selected="0">
            <x v="3"/>
          </reference>
        </references>
      </pivotArea>
    </format>
    <format dxfId="2001">
      <pivotArea field="0" dataOnly="0" labelOnly="1" grandRow="1" outline="0" axis="axisRow" fieldPosition="0">
        <references count="1">
          <reference field="4294967294" count="1" selected="0">
            <x v="4"/>
          </reference>
        </references>
      </pivotArea>
    </format>
    <format dxfId="2002">
      <pivotArea field="0" dataOnly="0" labelOnly="1" grandRow="1" outline="0" axis="axisRow" fieldPosition="0">
        <references count="1">
          <reference field="4294967294" count="1" selected="0">
            <x v="5"/>
          </reference>
        </references>
      </pivotArea>
    </format>
    <format dxfId="2003">
      <pivotArea field="0" dataOnly="0" labelOnly="1" grandRow="1" outline="0" axis="axisRow" fieldPosition="0">
        <references count="1">
          <reference field="4294967294" count="1" selected="0">
            <x v="6"/>
          </reference>
        </references>
      </pivotArea>
    </format>
    <format dxfId="2004">
      <pivotArea field="0" dataOnly="0" labelOnly="1" grandRow="1" outline="0" axis="axisRow" fieldPosition="0">
        <references count="1">
          <reference field="4294967294" count="1" selected="0">
            <x v="7"/>
          </reference>
        </references>
      </pivotArea>
    </format>
    <format dxfId="2005">
      <pivotArea field="0" dataOnly="0" labelOnly="1" grandRow="1" outline="0" axis="axisRow" fieldPosition="0">
        <references count="1">
          <reference field="4294967294" count="1" selected="0">
            <x v="8"/>
          </reference>
        </references>
      </pivotArea>
    </format>
    <format dxfId="2006">
      <pivotArea field="0" dataOnly="0" labelOnly="1" grandRow="1" outline="0" axis="axisRow" fieldPosition="0">
        <references count="1">
          <reference field="4294967294" count="1" selected="0">
            <x v="9"/>
          </reference>
        </references>
      </pivotArea>
    </format>
    <format dxfId="2007">
      <pivotArea field="0" dataOnly="0" labelOnly="1" grandRow="1" outline="0" axis="axisRow" fieldPosition="0">
        <references count="1">
          <reference field="4294967294" count="1" selected="0">
            <x v="10"/>
          </reference>
        </references>
      </pivotArea>
    </format>
    <format dxfId="2008">
      <pivotArea field="0" dataOnly="0" labelOnly="1" grandRow="1" outline="0" axis="axisRow" fieldPosition="0">
        <references count="1">
          <reference field="4294967294" count="1" selected="0">
            <x v="11"/>
          </reference>
        </references>
      </pivotArea>
    </format>
    <format dxfId="2009">
      <pivotArea field="0" dataOnly="0" labelOnly="1" grandRow="1" outline="0" axis="axisRow" fieldPosition="0">
        <references count="1">
          <reference field="4294967294" count="1" selected="0">
            <x v="12"/>
          </reference>
        </references>
      </pivotArea>
    </format>
    <format dxfId="2010">
      <pivotArea field="0" dataOnly="0" labelOnly="1" grandRow="1" outline="0" axis="axisRow" fieldPosition="0">
        <references count="1">
          <reference field="4294967294" count="1" selected="0">
            <x v="13"/>
          </reference>
        </references>
      </pivotArea>
    </format>
    <format dxfId="2011">
      <pivotArea field="0" dataOnly="0" labelOnly="1" grandRow="1" outline="0" axis="axisRow" fieldPosition="0">
        <references count="1">
          <reference field="4294967294" count="1" selected="0">
            <x v="14"/>
          </reference>
        </references>
      </pivotArea>
    </format>
    <format dxfId="2012">
      <pivotArea field="0" dataOnly="0" labelOnly="1" grandRow="1" outline="0" axis="axisRow" fieldPosition="0">
        <references count="1">
          <reference field="4294967294" count="1" selected="0">
            <x v="15"/>
          </reference>
        </references>
      </pivotArea>
    </format>
    <format dxfId="2013">
      <pivotArea field="0" dataOnly="0" labelOnly="1" grandRow="1" outline="0" axis="axisRow" fieldPosition="0">
        <references count="1">
          <reference field="4294967294" count="1" selected="0">
            <x v="16"/>
          </reference>
        </references>
      </pivotArea>
    </format>
    <format dxfId="2014">
      <pivotArea field="0" dataOnly="0" labelOnly="1" grandRow="1" outline="0" axis="axisRow" fieldPosition="0">
        <references count="1">
          <reference field="4294967294" count="1" selected="0">
            <x v="17"/>
          </reference>
        </references>
      </pivotArea>
    </format>
    <format dxfId="2015">
      <pivotArea field="0" dataOnly="0" labelOnly="1" grandRow="1" outline="0" axis="axisRow" fieldPosition="0">
        <references count="1">
          <reference field="4294967294" count="1" selected="0">
            <x v="18"/>
          </reference>
        </references>
      </pivotArea>
    </format>
    <format dxfId="2016">
      <pivotArea field="0" dataOnly="0" labelOnly="1" grandRow="1" outline="0" axis="axisRow" fieldPosition="0">
        <references count="1">
          <reference field="4294967294" count="1" selected="0">
            <x v="19"/>
          </reference>
        </references>
      </pivotArea>
    </format>
    <format dxfId="2017">
      <pivotArea field="0" dataOnly="0" labelOnly="1" grandRow="1" outline="0" axis="axisRow" fieldPosition="0">
        <references count="1">
          <reference field="4294967294" count="1" selected="0">
            <x v="20"/>
          </reference>
        </references>
      </pivotArea>
    </format>
    <format dxfId="2018">
      <pivotArea field="0" dataOnly="0" labelOnly="1" grandRow="1" outline="0" axis="axisRow" fieldPosition="0">
        <references count="1">
          <reference field="4294967294" count="1" selected="0">
            <x v="21"/>
          </reference>
        </references>
      </pivotArea>
    </format>
    <format dxfId="2019">
      <pivotArea field="0" dataOnly="0" labelOnly="1" grandRow="1" outline="0" axis="axisRow" fieldPosition="0">
        <references count="1">
          <reference field="4294967294" count="1" selected="0">
            <x v="22"/>
          </reference>
        </references>
      </pivotArea>
    </format>
    <format dxfId="2020">
      <pivotArea field="0" dataOnly="0" labelOnly="1" grandRow="1" outline="0" axis="axisRow" fieldPosition="0">
        <references count="1">
          <reference field="4294967294" count="1" selected="0">
            <x v="23"/>
          </reference>
        </references>
      </pivotArea>
    </format>
    <format dxfId="2021">
      <pivotArea field="0" dataOnly="0" labelOnly="1" grandRow="1" outline="0" axis="axisRow" fieldPosition="0">
        <references count="1">
          <reference field="4294967294" count="1" selected="0">
            <x v="24"/>
          </reference>
        </references>
      </pivotArea>
    </format>
    <format dxfId="2022">
      <pivotArea field="0" dataOnly="0" labelOnly="1" grandRow="1" outline="0" axis="axisRow" fieldPosition="0">
        <references count="1">
          <reference field="4294967294" count="1" selected="0">
            <x v="25"/>
          </reference>
        </references>
      </pivotArea>
    </format>
    <format dxfId="2023">
      <pivotArea field="0" dataOnly="0" labelOnly="1" grandRow="1" outline="0" axis="axisRow" fieldPosition="0">
        <references count="1">
          <reference field="4294967294" count="1" selected="0">
            <x v="26"/>
          </reference>
        </references>
      </pivotArea>
    </format>
    <format dxfId="2024">
      <pivotArea field="0" dataOnly="0" labelOnly="1" grandRow="1" outline="0" axis="axisRow" fieldPosition="0">
        <references count="1">
          <reference field="4294967294" count="1" selected="0">
            <x v="27"/>
          </reference>
        </references>
      </pivotArea>
    </format>
    <format dxfId="2025">
      <pivotArea field="0" dataOnly="0" labelOnly="1" grandRow="1" outline="0" axis="axisRow" fieldPosition="0">
        <references count="1">
          <reference field="4294967294" count="1" selected="0">
            <x v="28"/>
          </reference>
        </references>
      </pivotArea>
    </format>
    <format dxfId="2026">
      <pivotArea field="0" dataOnly="0" labelOnly="1" grandRow="1" outline="0" axis="axisRow" fieldPosition="0">
        <references count="1">
          <reference field="4294967294" count="1" selected="0">
            <x v="29"/>
          </reference>
        </references>
      </pivotArea>
    </format>
    <format dxfId="2027">
      <pivotArea field="0" dataOnly="0" labelOnly="1" grandRow="1" outline="0" axis="axisRow" fieldPosition="0">
        <references count="1">
          <reference field="4294967294" count="1" selected="0">
            <x v="30"/>
          </reference>
        </references>
      </pivotArea>
    </format>
    <format dxfId="2028">
      <pivotArea field="0" dataOnly="0" labelOnly="1" grandRow="1" outline="0" axis="axisRow" fieldPosition="0">
        <references count="1">
          <reference field="4294967294" count="1" selected="0">
            <x v="31"/>
          </reference>
        </references>
      </pivotArea>
    </format>
    <format dxfId="2029">
      <pivotArea field="0" dataOnly="0" labelOnly="1" grandRow="1" outline="0" axis="axisRow" fieldPosition="0">
        <references count="1">
          <reference field="4294967294" count="1" selected="0">
            <x v="32"/>
          </reference>
        </references>
      </pivotArea>
    </format>
    <format dxfId="2030">
      <pivotArea field="0" dataOnly="0" labelOnly="1" grandRow="1" outline="0" axis="axisRow" fieldPosition="0">
        <references count="1">
          <reference field="4294967294" count="1" selected="0">
            <x v="33"/>
          </reference>
        </references>
      </pivotArea>
    </format>
    <format dxfId="2031">
      <pivotArea field="0" dataOnly="0" labelOnly="1" grandRow="1" outline="0" axis="axisRow" fieldPosition="0">
        <references count="1">
          <reference field="4294967294" count="1" selected="0">
            <x v="34"/>
          </reference>
        </references>
      </pivotArea>
    </format>
    <format dxfId="2032">
      <pivotArea field="0" dataOnly="0" labelOnly="1" grandRow="1" outline="0" axis="axisRow" fieldPosition="0">
        <references count="1">
          <reference field="4294967294" count="1" selected="0">
            <x v="35"/>
          </reference>
        </references>
      </pivotArea>
    </format>
    <format dxfId="2033">
      <pivotArea field="0" dataOnly="0" labelOnly="1" grandRow="1" outline="0" axis="axisRow" fieldPosition="0">
        <references count="1">
          <reference field="4294967294" count="1" selected="0">
            <x v="0"/>
          </reference>
        </references>
      </pivotArea>
    </format>
    <format dxfId="2034">
      <pivotArea field="0" dataOnly="0" labelOnly="1" grandRow="1" outline="0" axis="axisRow" fieldPosition="0">
        <references count="1">
          <reference field="4294967294" count="1" selected="0">
            <x v="1"/>
          </reference>
        </references>
      </pivotArea>
    </format>
    <format dxfId="2035">
      <pivotArea field="0" dataOnly="0" labelOnly="1" grandRow="1" outline="0" axis="axisRow" fieldPosition="0">
        <references count="1">
          <reference field="4294967294" count="1" selected="0">
            <x v="2"/>
          </reference>
        </references>
      </pivotArea>
    </format>
    <format dxfId="2036">
      <pivotArea field="0" dataOnly="0" labelOnly="1" grandRow="1" outline="0" axis="axisRow" fieldPosition="0">
        <references count="1">
          <reference field="4294967294" count="1" selected="0">
            <x v="3"/>
          </reference>
        </references>
      </pivotArea>
    </format>
    <format dxfId="2037">
      <pivotArea field="0" dataOnly="0" labelOnly="1" grandRow="1" outline="0" axis="axisRow" fieldPosition="0">
        <references count="1">
          <reference field="4294967294" count="1" selected="0">
            <x v="4"/>
          </reference>
        </references>
      </pivotArea>
    </format>
    <format dxfId="2038">
      <pivotArea field="0" dataOnly="0" labelOnly="1" grandRow="1" outline="0" axis="axisRow" fieldPosition="0">
        <references count="1">
          <reference field="4294967294" count="1" selected="0">
            <x v="5"/>
          </reference>
        </references>
      </pivotArea>
    </format>
    <format dxfId="2039">
      <pivotArea field="0" dataOnly="0" labelOnly="1" grandRow="1" outline="0" axis="axisRow" fieldPosition="0">
        <references count="1">
          <reference field="4294967294" count="1" selected="0">
            <x v="6"/>
          </reference>
        </references>
      </pivotArea>
    </format>
    <format dxfId="2040">
      <pivotArea field="0" dataOnly="0" labelOnly="1" grandRow="1" outline="0" axis="axisRow" fieldPosition="0">
        <references count="1">
          <reference field="4294967294" count="1" selected="0">
            <x v="7"/>
          </reference>
        </references>
      </pivotArea>
    </format>
    <format dxfId="2041">
      <pivotArea field="0" dataOnly="0" labelOnly="1" grandRow="1" outline="0" axis="axisRow" fieldPosition="0">
        <references count="1">
          <reference field="4294967294" count="1" selected="0">
            <x v="8"/>
          </reference>
        </references>
      </pivotArea>
    </format>
    <format dxfId="2042">
      <pivotArea field="0" dataOnly="0" labelOnly="1" grandRow="1" outline="0" axis="axisRow" fieldPosition="0">
        <references count="1">
          <reference field="4294967294" count="1" selected="0">
            <x v="9"/>
          </reference>
        </references>
      </pivotArea>
    </format>
    <format dxfId="2043">
      <pivotArea field="0" dataOnly="0" labelOnly="1" grandRow="1" outline="0" axis="axisRow" fieldPosition="0">
        <references count="1">
          <reference field="4294967294" count="1" selected="0">
            <x v="10"/>
          </reference>
        </references>
      </pivotArea>
    </format>
    <format dxfId="2044">
      <pivotArea field="0" dataOnly="0" labelOnly="1" grandRow="1" outline="0" axis="axisRow" fieldPosition="0">
        <references count="1">
          <reference field="4294967294" count="1" selected="0">
            <x v="11"/>
          </reference>
        </references>
      </pivotArea>
    </format>
    <format dxfId="2045">
      <pivotArea field="0" dataOnly="0" labelOnly="1" grandRow="1" outline="0" axis="axisRow" fieldPosition="0">
        <references count="1">
          <reference field="4294967294" count="1" selected="0">
            <x v="12"/>
          </reference>
        </references>
      </pivotArea>
    </format>
    <format dxfId="2046">
      <pivotArea field="0" dataOnly="0" labelOnly="1" grandRow="1" outline="0" axis="axisRow" fieldPosition="0">
        <references count="1">
          <reference field="4294967294" count="1" selected="0">
            <x v="13"/>
          </reference>
        </references>
      </pivotArea>
    </format>
    <format dxfId="2047">
      <pivotArea field="0" dataOnly="0" labelOnly="1" grandRow="1" outline="0" axis="axisRow" fieldPosition="0">
        <references count="1">
          <reference field="4294967294" count="1" selected="0">
            <x v="14"/>
          </reference>
        </references>
      </pivotArea>
    </format>
    <format dxfId="2048">
      <pivotArea field="0" dataOnly="0" labelOnly="1" grandRow="1" outline="0" axis="axisRow" fieldPosition="0">
        <references count="1">
          <reference field="4294967294" count="1" selected="0">
            <x v="15"/>
          </reference>
        </references>
      </pivotArea>
    </format>
    <format dxfId="2049">
      <pivotArea field="0" dataOnly="0" labelOnly="1" grandRow="1" outline="0" axis="axisRow" fieldPosition="0">
        <references count="1">
          <reference field="4294967294" count="1" selected="0">
            <x v="16"/>
          </reference>
        </references>
      </pivotArea>
    </format>
    <format dxfId="2050">
      <pivotArea field="0" dataOnly="0" labelOnly="1" grandRow="1" outline="0" axis="axisRow" fieldPosition="0">
        <references count="1">
          <reference field="4294967294" count="1" selected="0">
            <x v="17"/>
          </reference>
        </references>
      </pivotArea>
    </format>
    <format dxfId="2051">
      <pivotArea field="0" dataOnly="0" labelOnly="1" grandRow="1" outline="0" axis="axisRow" fieldPosition="0">
        <references count="1">
          <reference field="4294967294" count="1" selected="0">
            <x v="18"/>
          </reference>
        </references>
      </pivotArea>
    </format>
    <format dxfId="2052">
      <pivotArea field="0" dataOnly="0" labelOnly="1" grandRow="1" outline="0" axis="axisRow" fieldPosition="0">
        <references count="1">
          <reference field="4294967294" count="1" selected="0">
            <x v="19"/>
          </reference>
        </references>
      </pivotArea>
    </format>
    <format dxfId="2053">
      <pivotArea field="0" dataOnly="0" labelOnly="1" grandRow="1" outline="0" axis="axisRow" fieldPosition="0">
        <references count="1">
          <reference field="4294967294" count="1" selected="0">
            <x v="20"/>
          </reference>
        </references>
      </pivotArea>
    </format>
    <format dxfId="2054">
      <pivotArea field="0" dataOnly="0" labelOnly="1" grandRow="1" outline="0" axis="axisRow" fieldPosition="0">
        <references count="1">
          <reference field="4294967294" count="1" selected="0">
            <x v="21"/>
          </reference>
        </references>
      </pivotArea>
    </format>
    <format dxfId="2055">
      <pivotArea field="0" dataOnly="0" labelOnly="1" grandRow="1" outline="0" axis="axisRow" fieldPosition="0">
        <references count="1">
          <reference field="4294967294" count="1" selected="0">
            <x v="22"/>
          </reference>
        </references>
      </pivotArea>
    </format>
    <format dxfId="2056">
      <pivotArea field="0" dataOnly="0" labelOnly="1" grandRow="1" outline="0" axis="axisRow" fieldPosition="0">
        <references count="1">
          <reference field="4294967294" count="1" selected="0">
            <x v="23"/>
          </reference>
        </references>
      </pivotArea>
    </format>
    <format dxfId="2057">
      <pivotArea field="0" dataOnly="0" labelOnly="1" grandRow="1" outline="0" axis="axisRow" fieldPosition="0">
        <references count="1">
          <reference field="4294967294" count="1" selected="0">
            <x v="24"/>
          </reference>
        </references>
      </pivotArea>
    </format>
    <format dxfId="2058">
      <pivotArea field="0" dataOnly="0" labelOnly="1" grandRow="1" outline="0" axis="axisRow" fieldPosition="0">
        <references count="1">
          <reference field="4294967294" count="1" selected="0">
            <x v="25"/>
          </reference>
        </references>
      </pivotArea>
    </format>
    <format dxfId="2059">
      <pivotArea field="0" dataOnly="0" labelOnly="1" grandRow="1" outline="0" axis="axisRow" fieldPosition="0">
        <references count="1">
          <reference field="4294967294" count="1" selected="0">
            <x v="26"/>
          </reference>
        </references>
      </pivotArea>
    </format>
    <format dxfId="2060">
      <pivotArea field="0" dataOnly="0" labelOnly="1" grandRow="1" outline="0" axis="axisRow" fieldPosition="0">
        <references count="1">
          <reference field="4294967294" count="1" selected="0">
            <x v="27"/>
          </reference>
        </references>
      </pivotArea>
    </format>
    <format dxfId="2061">
      <pivotArea field="0" dataOnly="0" labelOnly="1" grandRow="1" outline="0" axis="axisRow" fieldPosition="0">
        <references count="1">
          <reference field="4294967294" count="1" selected="0">
            <x v="28"/>
          </reference>
        </references>
      </pivotArea>
    </format>
    <format dxfId="2062">
      <pivotArea field="0" dataOnly="0" labelOnly="1" grandRow="1" outline="0" axis="axisRow" fieldPosition="0">
        <references count="1">
          <reference field="4294967294" count="1" selected="0">
            <x v="29"/>
          </reference>
        </references>
      </pivotArea>
    </format>
    <format dxfId="2063">
      <pivotArea field="0" dataOnly="0" labelOnly="1" grandRow="1" outline="0" axis="axisRow" fieldPosition="0">
        <references count="1">
          <reference field="4294967294" count="1" selected="0">
            <x v="30"/>
          </reference>
        </references>
      </pivotArea>
    </format>
    <format dxfId="2064">
      <pivotArea field="0" dataOnly="0" labelOnly="1" grandRow="1" outline="0" axis="axisRow" fieldPosition="0">
        <references count="1">
          <reference field="4294967294" count="1" selected="0">
            <x v="31"/>
          </reference>
        </references>
      </pivotArea>
    </format>
    <format dxfId="2065">
      <pivotArea field="0" dataOnly="0" labelOnly="1" grandRow="1" outline="0" axis="axisRow" fieldPosition="0">
        <references count="1">
          <reference field="4294967294" count="1" selected="0">
            <x v="32"/>
          </reference>
        </references>
      </pivotArea>
    </format>
    <format dxfId="2066">
      <pivotArea field="0" dataOnly="0" labelOnly="1" grandRow="1" outline="0" axis="axisRow" fieldPosition="0">
        <references count="1">
          <reference field="4294967294" count="1" selected="0">
            <x v="33"/>
          </reference>
        </references>
      </pivotArea>
    </format>
    <format dxfId="2067">
      <pivotArea field="0" dataOnly="0" labelOnly="1" grandRow="1" outline="0" axis="axisRow" fieldPosition="0">
        <references count="1">
          <reference field="4294967294" count="1" selected="0">
            <x v="34"/>
          </reference>
        </references>
      </pivotArea>
    </format>
    <format dxfId="2068">
      <pivotArea field="0" dataOnly="0" labelOnly="1" grandRow="1" outline="0" axis="axisRow" fieldPosition="0">
        <references count="1">
          <reference field="4294967294" count="1" selected="0">
            <x v="35"/>
          </reference>
        </references>
      </pivotArea>
    </format>
    <format dxfId="2069">
      <pivotArea field="0" dataOnly="0" labelOnly="1" grandRow="1" outline="0" axis="axisRow" fieldPosition="0">
        <references count="1">
          <reference field="4294967294" count="1" selected="0">
            <x v="0"/>
          </reference>
        </references>
      </pivotArea>
    </format>
    <format dxfId="2070">
      <pivotArea field="0" dataOnly="0" labelOnly="1" grandRow="1" outline="0" axis="axisRow" fieldPosition="0">
        <references count="1">
          <reference field="4294967294" count="1" selected="0">
            <x v="1"/>
          </reference>
        </references>
      </pivotArea>
    </format>
    <format dxfId="2071">
      <pivotArea field="0" dataOnly="0" labelOnly="1" grandRow="1" outline="0" axis="axisRow" fieldPosition="0">
        <references count="1">
          <reference field="4294967294" count="1" selected="0">
            <x v="2"/>
          </reference>
        </references>
      </pivotArea>
    </format>
    <format dxfId="2072">
      <pivotArea field="0" dataOnly="0" labelOnly="1" grandRow="1" outline="0" axis="axisRow" fieldPosition="0">
        <references count="1">
          <reference field="4294967294" count="1" selected="0">
            <x v="3"/>
          </reference>
        </references>
      </pivotArea>
    </format>
    <format dxfId="2073">
      <pivotArea field="0" dataOnly="0" labelOnly="1" grandRow="1" outline="0" axis="axisRow" fieldPosition="0">
        <references count="1">
          <reference field="4294967294" count="1" selected="0">
            <x v="4"/>
          </reference>
        </references>
      </pivotArea>
    </format>
    <format dxfId="2074">
      <pivotArea field="0" dataOnly="0" labelOnly="1" grandRow="1" outline="0" axis="axisRow" fieldPosition="0">
        <references count="1">
          <reference field="4294967294" count="1" selected="0">
            <x v="5"/>
          </reference>
        </references>
      </pivotArea>
    </format>
    <format dxfId="2075">
      <pivotArea field="0" dataOnly="0" labelOnly="1" grandRow="1" outline="0" axis="axisRow" fieldPosition="0">
        <references count="1">
          <reference field="4294967294" count="1" selected="0">
            <x v="6"/>
          </reference>
        </references>
      </pivotArea>
    </format>
    <format dxfId="2076">
      <pivotArea field="0" dataOnly="0" labelOnly="1" grandRow="1" outline="0" axis="axisRow" fieldPosition="0">
        <references count="1">
          <reference field="4294967294" count="1" selected="0">
            <x v="7"/>
          </reference>
        </references>
      </pivotArea>
    </format>
    <format dxfId="2077">
      <pivotArea field="0" dataOnly="0" labelOnly="1" grandRow="1" outline="0" axis="axisRow" fieldPosition="0">
        <references count="1">
          <reference field="4294967294" count="1" selected="0">
            <x v="8"/>
          </reference>
        </references>
      </pivotArea>
    </format>
    <format dxfId="2078">
      <pivotArea field="0" dataOnly="0" labelOnly="1" grandRow="1" outline="0" axis="axisRow" fieldPosition="0">
        <references count="1">
          <reference field="4294967294" count="1" selected="0">
            <x v="9"/>
          </reference>
        </references>
      </pivotArea>
    </format>
    <format dxfId="2079">
      <pivotArea field="0" dataOnly="0" labelOnly="1" grandRow="1" outline="0" axis="axisRow" fieldPosition="0">
        <references count="1">
          <reference field="4294967294" count="1" selected="0">
            <x v="10"/>
          </reference>
        </references>
      </pivotArea>
    </format>
    <format dxfId="2080">
      <pivotArea field="0" dataOnly="0" labelOnly="1" grandRow="1" outline="0" axis="axisRow" fieldPosition="0">
        <references count="1">
          <reference field="4294967294" count="1" selected="0">
            <x v="11"/>
          </reference>
        </references>
      </pivotArea>
    </format>
    <format dxfId="2081">
      <pivotArea field="0" dataOnly="0" labelOnly="1" grandRow="1" outline="0" axis="axisRow" fieldPosition="0">
        <references count="1">
          <reference field="4294967294" count="1" selected="0">
            <x v="12"/>
          </reference>
        </references>
      </pivotArea>
    </format>
    <format dxfId="2082">
      <pivotArea field="0" dataOnly="0" labelOnly="1" grandRow="1" outline="0" axis="axisRow" fieldPosition="0">
        <references count="1">
          <reference field="4294967294" count="1" selected="0">
            <x v="13"/>
          </reference>
        </references>
      </pivotArea>
    </format>
    <format dxfId="2083">
      <pivotArea field="0" dataOnly="0" labelOnly="1" grandRow="1" outline="0" axis="axisRow" fieldPosition="0">
        <references count="1">
          <reference field="4294967294" count="1" selected="0">
            <x v="14"/>
          </reference>
        </references>
      </pivotArea>
    </format>
    <format dxfId="2084">
      <pivotArea field="0" dataOnly="0" labelOnly="1" grandRow="1" outline="0" axis="axisRow" fieldPosition="0">
        <references count="1">
          <reference field="4294967294" count="1" selected="0">
            <x v="15"/>
          </reference>
        </references>
      </pivotArea>
    </format>
    <format dxfId="2085">
      <pivotArea field="0" dataOnly="0" labelOnly="1" grandRow="1" outline="0" axis="axisRow" fieldPosition="0">
        <references count="1">
          <reference field="4294967294" count="1" selected="0">
            <x v="16"/>
          </reference>
        </references>
      </pivotArea>
    </format>
    <format dxfId="2086">
      <pivotArea field="0" dataOnly="0" labelOnly="1" grandRow="1" outline="0" axis="axisRow" fieldPosition="0">
        <references count="1">
          <reference field="4294967294" count="1" selected="0">
            <x v="17"/>
          </reference>
        </references>
      </pivotArea>
    </format>
    <format dxfId="2087">
      <pivotArea field="0" dataOnly="0" labelOnly="1" grandRow="1" outline="0" axis="axisRow" fieldPosition="0">
        <references count="1">
          <reference field="4294967294" count="1" selected="0">
            <x v="18"/>
          </reference>
        </references>
      </pivotArea>
    </format>
    <format dxfId="2088">
      <pivotArea field="0" dataOnly="0" labelOnly="1" grandRow="1" outline="0" axis="axisRow" fieldPosition="0">
        <references count="1">
          <reference field="4294967294" count="1" selected="0">
            <x v="19"/>
          </reference>
        </references>
      </pivotArea>
    </format>
    <format dxfId="2089">
      <pivotArea field="0" dataOnly="0" labelOnly="1" grandRow="1" outline="0" axis="axisRow" fieldPosition="0">
        <references count="1">
          <reference field="4294967294" count="1" selected="0">
            <x v="20"/>
          </reference>
        </references>
      </pivotArea>
    </format>
    <format dxfId="2090">
      <pivotArea field="0" dataOnly="0" labelOnly="1" grandRow="1" outline="0" axis="axisRow" fieldPosition="0">
        <references count="1">
          <reference field="4294967294" count="1" selected="0">
            <x v="21"/>
          </reference>
        </references>
      </pivotArea>
    </format>
    <format dxfId="2091">
      <pivotArea field="0" dataOnly="0" labelOnly="1" grandRow="1" outline="0" axis="axisRow" fieldPosition="0">
        <references count="1">
          <reference field="4294967294" count="1" selected="0">
            <x v="22"/>
          </reference>
        </references>
      </pivotArea>
    </format>
    <format dxfId="2092">
      <pivotArea field="0" dataOnly="0" labelOnly="1" grandRow="1" outline="0" axis="axisRow" fieldPosition="0">
        <references count="1">
          <reference field="4294967294" count="1" selected="0">
            <x v="23"/>
          </reference>
        </references>
      </pivotArea>
    </format>
    <format dxfId="2093">
      <pivotArea field="0" dataOnly="0" labelOnly="1" grandRow="1" outline="0" axis="axisRow" fieldPosition="0">
        <references count="1">
          <reference field="4294967294" count="1" selected="0">
            <x v="24"/>
          </reference>
        </references>
      </pivotArea>
    </format>
    <format dxfId="2094">
      <pivotArea field="0" dataOnly="0" labelOnly="1" grandRow="1" outline="0" axis="axisRow" fieldPosition="0">
        <references count="1">
          <reference field="4294967294" count="1" selected="0">
            <x v="25"/>
          </reference>
        </references>
      </pivotArea>
    </format>
    <format dxfId="2095">
      <pivotArea field="0" dataOnly="0" labelOnly="1" grandRow="1" outline="0" axis="axisRow" fieldPosition="0">
        <references count="1">
          <reference field="4294967294" count="1" selected="0">
            <x v="26"/>
          </reference>
        </references>
      </pivotArea>
    </format>
    <format dxfId="2096">
      <pivotArea field="0" dataOnly="0" labelOnly="1" grandRow="1" outline="0" axis="axisRow" fieldPosition="0">
        <references count="1">
          <reference field="4294967294" count="1" selected="0">
            <x v="27"/>
          </reference>
        </references>
      </pivotArea>
    </format>
    <format dxfId="2097">
      <pivotArea field="0" dataOnly="0" labelOnly="1" grandRow="1" outline="0" axis="axisRow" fieldPosition="0">
        <references count="1">
          <reference field="4294967294" count="1" selected="0">
            <x v="28"/>
          </reference>
        </references>
      </pivotArea>
    </format>
    <format dxfId="2098">
      <pivotArea field="0" dataOnly="0" labelOnly="1" grandRow="1" outline="0" axis="axisRow" fieldPosition="0">
        <references count="1">
          <reference field="4294967294" count="1" selected="0">
            <x v="29"/>
          </reference>
        </references>
      </pivotArea>
    </format>
    <format dxfId="2099">
      <pivotArea field="0" dataOnly="0" labelOnly="1" grandRow="1" outline="0" axis="axisRow" fieldPosition="0">
        <references count="1">
          <reference field="4294967294" count="1" selected="0">
            <x v="30"/>
          </reference>
        </references>
      </pivotArea>
    </format>
    <format dxfId="2100">
      <pivotArea field="0" dataOnly="0" labelOnly="1" grandRow="1" outline="0" axis="axisRow" fieldPosition="0">
        <references count="1">
          <reference field="4294967294" count="1" selected="0">
            <x v="31"/>
          </reference>
        </references>
      </pivotArea>
    </format>
    <format dxfId="2101">
      <pivotArea field="0" dataOnly="0" labelOnly="1" grandRow="1" outline="0" axis="axisRow" fieldPosition="0">
        <references count="1">
          <reference field="4294967294" count="1" selected="0">
            <x v="32"/>
          </reference>
        </references>
      </pivotArea>
    </format>
    <format dxfId="2102">
      <pivotArea field="0" dataOnly="0" labelOnly="1" grandRow="1" outline="0" axis="axisRow" fieldPosition="0">
        <references count="1">
          <reference field="4294967294" count="1" selected="0">
            <x v="33"/>
          </reference>
        </references>
      </pivotArea>
    </format>
    <format dxfId="2103">
      <pivotArea field="0" dataOnly="0" labelOnly="1" grandRow="1" outline="0" axis="axisRow" fieldPosition="0">
        <references count="1">
          <reference field="4294967294" count="1" selected="0">
            <x v="34"/>
          </reference>
        </references>
      </pivotArea>
    </format>
    <format dxfId="2104">
      <pivotArea field="0" dataOnly="0" labelOnly="1" grandRow="1" outline="0" axis="axisRow" fieldPosition="0">
        <references count="1">
          <reference field="4294967294" count="1" selected="0">
            <x v="35"/>
          </reference>
        </references>
      </pivotArea>
    </format>
    <format dxfId="2105">
      <pivotArea field="0" dataOnly="0" labelOnly="1" grandRow="1" outline="0" axis="axisRow" fieldPosition="0">
        <references count="1">
          <reference field="4294967294" count="1" selected="0">
            <x v="0"/>
          </reference>
        </references>
      </pivotArea>
    </format>
    <format dxfId="2106">
      <pivotArea field="0" dataOnly="0" labelOnly="1" grandRow="1" outline="0" axis="axisRow" fieldPosition="0">
        <references count="1">
          <reference field="4294967294" count="1" selected="0">
            <x v="1"/>
          </reference>
        </references>
      </pivotArea>
    </format>
    <format dxfId="2107">
      <pivotArea field="0" dataOnly="0" labelOnly="1" grandRow="1" outline="0" axis="axisRow" fieldPosition="0">
        <references count="1">
          <reference field="4294967294" count="1" selected="0">
            <x v="2"/>
          </reference>
        </references>
      </pivotArea>
    </format>
    <format dxfId="2108">
      <pivotArea field="0" dataOnly="0" labelOnly="1" grandRow="1" outline="0" axis="axisRow" fieldPosition="0">
        <references count="1">
          <reference field="4294967294" count="1" selected="0">
            <x v="3"/>
          </reference>
        </references>
      </pivotArea>
    </format>
    <format dxfId="2109">
      <pivotArea field="0" dataOnly="0" labelOnly="1" grandRow="1" outline="0" axis="axisRow" fieldPosition="0">
        <references count="1">
          <reference field="4294967294" count="1" selected="0">
            <x v="4"/>
          </reference>
        </references>
      </pivotArea>
    </format>
    <format dxfId="2110">
      <pivotArea field="0" dataOnly="0" labelOnly="1" grandRow="1" outline="0" axis="axisRow" fieldPosition="0">
        <references count="1">
          <reference field="4294967294" count="1" selected="0">
            <x v="5"/>
          </reference>
        </references>
      </pivotArea>
    </format>
    <format dxfId="2111">
      <pivotArea field="0" dataOnly="0" labelOnly="1" grandRow="1" outline="0" axis="axisRow" fieldPosition="0">
        <references count="1">
          <reference field="4294967294" count="1" selected="0">
            <x v="6"/>
          </reference>
        </references>
      </pivotArea>
    </format>
    <format dxfId="2112">
      <pivotArea field="0" dataOnly="0" labelOnly="1" grandRow="1" outline="0" axis="axisRow" fieldPosition="0">
        <references count="1">
          <reference field="4294967294" count="1" selected="0">
            <x v="7"/>
          </reference>
        </references>
      </pivotArea>
    </format>
    <format dxfId="2113">
      <pivotArea field="0" dataOnly="0" labelOnly="1" grandRow="1" outline="0" axis="axisRow" fieldPosition="0">
        <references count="1">
          <reference field="4294967294" count="1" selected="0">
            <x v="8"/>
          </reference>
        </references>
      </pivotArea>
    </format>
    <format dxfId="2114">
      <pivotArea field="0" dataOnly="0" labelOnly="1" grandRow="1" outline="0" axis="axisRow" fieldPosition="0">
        <references count="1">
          <reference field="4294967294" count="1" selected="0">
            <x v="9"/>
          </reference>
        </references>
      </pivotArea>
    </format>
    <format dxfId="2115">
      <pivotArea field="0" dataOnly="0" labelOnly="1" grandRow="1" outline="0" axis="axisRow" fieldPosition="0">
        <references count="1">
          <reference field="4294967294" count="1" selected="0">
            <x v="10"/>
          </reference>
        </references>
      </pivotArea>
    </format>
    <format dxfId="2116">
      <pivotArea field="0" dataOnly="0" labelOnly="1" grandRow="1" outline="0" axis="axisRow" fieldPosition="0">
        <references count="1">
          <reference field="4294967294" count="1" selected="0">
            <x v="11"/>
          </reference>
        </references>
      </pivotArea>
    </format>
    <format dxfId="2117">
      <pivotArea field="0" dataOnly="0" labelOnly="1" grandRow="1" outline="0" axis="axisRow" fieldPosition="0">
        <references count="1">
          <reference field="4294967294" count="1" selected="0">
            <x v="12"/>
          </reference>
        </references>
      </pivotArea>
    </format>
    <format dxfId="2118">
      <pivotArea field="0" dataOnly="0" labelOnly="1" grandRow="1" outline="0" axis="axisRow" fieldPosition="0">
        <references count="1">
          <reference field="4294967294" count="1" selected="0">
            <x v="13"/>
          </reference>
        </references>
      </pivotArea>
    </format>
    <format dxfId="2119">
      <pivotArea field="0" dataOnly="0" labelOnly="1" grandRow="1" outline="0" axis="axisRow" fieldPosition="0">
        <references count="1">
          <reference field="4294967294" count="1" selected="0">
            <x v="14"/>
          </reference>
        </references>
      </pivotArea>
    </format>
    <format dxfId="2120">
      <pivotArea field="0" dataOnly="0" labelOnly="1" grandRow="1" outline="0" axis="axisRow" fieldPosition="0">
        <references count="1">
          <reference field="4294967294" count="1" selected="0">
            <x v="15"/>
          </reference>
        </references>
      </pivotArea>
    </format>
    <format dxfId="2121">
      <pivotArea field="0" dataOnly="0" labelOnly="1" grandRow="1" outline="0" axis="axisRow" fieldPosition="0">
        <references count="1">
          <reference field="4294967294" count="1" selected="0">
            <x v="16"/>
          </reference>
        </references>
      </pivotArea>
    </format>
    <format dxfId="2122">
      <pivotArea field="0" dataOnly="0" labelOnly="1" grandRow="1" outline="0" axis="axisRow" fieldPosition="0">
        <references count="1">
          <reference field="4294967294" count="1" selected="0">
            <x v="17"/>
          </reference>
        </references>
      </pivotArea>
    </format>
    <format dxfId="2123">
      <pivotArea field="0" dataOnly="0" labelOnly="1" grandRow="1" outline="0" axis="axisRow" fieldPosition="0">
        <references count="1">
          <reference field="4294967294" count="1" selected="0">
            <x v="18"/>
          </reference>
        </references>
      </pivotArea>
    </format>
    <format dxfId="2124">
      <pivotArea field="0" dataOnly="0" labelOnly="1" grandRow="1" outline="0" axis="axisRow" fieldPosition="0">
        <references count="1">
          <reference field="4294967294" count="1" selected="0">
            <x v="19"/>
          </reference>
        </references>
      </pivotArea>
    </format>
    <format dxfId="2125">
      <pivotArea field="0" dataOnly="0" labelOnly="1" grandRow="1" outline="0" axis="axisRow" fieldPosition="0">
        <references count="1">
          <reference field="4294967294" count="1" selected="0">
            <x v="20"/>
          </reference>
        </references>
      </pivotArea>
    </format>
    <format dxfId="2126">
      <pivotArea field="0" dataOnly="0" labelOnly="1" grandRow="1" outline="0" axis="axisRow" fieldPosition="0">
        <references count="1">
          <reference field="4294967294" count="1" selected="0">
            <x v="21"/>
          </reference>
        </references>
      </pivotArea>
    </format>
    <format dxfId="2127">
      <pivotArea field="0" dataOnly="0" labelOnly="1" grandRow="1" outline="0" axis="axisRow" fieldPosition="0">
        <references count="1">
          <reference field="4294967294" count="1" selected="0">
            <x v="22"/>
          </reference>
        </references>
      </pivotArea>
    </format>
    <format dxfId="2128">
      <pivotArea field="0" dataOnly="0" labelOnly="1" grandRow="1" outline="0" axis="axisRow" fieldPosition="0">
        <references count="1">
          <reference field="4294967294" count="1" selected="0">
            <x v="23"/>
          </reference>
        </references>
      </pivotArea>
    </format>
    <format dxfId="2129">
      <pivotArea field="0" dataOnly="0" labelOnly="1" grandRow="1" outline="0" axis="axisRow" fieldPosition="0">
        <references count="1">
          <reference field="4294967294" count="1" selected="0">
            <x v="24"/>
          </reference>
        </references>
      </pivotArea>
    </format>
    <format dxfId="2130">
      <pivotArea field="0" dataOnly="0" labelOnly="1" grandRow="1" outline="0" axis="axisRow" fieldPosition="0">
        <references count="1">
          <reference field="4294967294" count="1" selected="0">
            <x v="25"/>
          </reference>
        </references>
      </pivotArea>
    </format>
    <format dxfId="2131">
      <pivotArea field="0" dataOnly="0" labelOnly="1" grandRow="1" outline="0" axis="axisRow" fieldPosition="0">
        <references count="1">
          <reference field="4294967294" count="1" selected="0">
            <x v="26"/>
          </reference>
        </references>
      </pivotArea>
    </format>
    <format dxfId="2132">
      <pivotArea field="0" dataOnly="0" labelOnly="1" grandRow="1" outline="0" axis="axisRow" fieldPosition="0">
        <references count="1">
          <reference field="4294967294" count="1" selected="0">
            <x v="27"/>
          </reference>
        </references>
      </pivotArea>
    </format>
    <format dxfId="2133">
      <pivotArea field="0" dataOnly="0" labelOnly="1" grandRow="1" outline="0" axis="axisRow" fieldPosition="0">
        <references count="1">
          <reference field="4294967294" count="1" selected="0">
            <x v="28"/>
          </reference>
        </references>
      </pivotArea>
    </format>
    <format dxfId="2134">
      <pivotArea field="0" dataOnly="0" labelOnly="1" grandRow="1" outline="0" axis="axisRow" fieldPosition="0">
        <references count="1">
          <reference field="4294967294" count="1" selected="0">
            <x v="29"/>
          </reference>
        </references>
      </pivotArea>
    </format>
    <format dxfId="2135">
      <pivotArea field="0" dataOnly="0" labelOnly="1" grandRow="1" outline="0" axis="axisRow" fieldPosition="0">
        <references count="1">
          <reference field="4294967294" count="1" selected="0">
            <x v="30"/>
          </reference>
        </references>
      </pivotArea>
    </format>
    <format dxfId="2136">
      <pivotArea field="0" dataOnly="0" labelOnly="1" grandRow="1" outline="0" axis="axisRow" fieldPosition="0">
        <references count="1">
          <reference field="4294967294" count="1" selected="0">
            <x v="31"/>
          </reference>
        </references>
      </pivotArea>
    </format>
    <format dxfId="2137">
      <pivotArea field="0" dataOnly="0" labelOnly="1" grandRow="1" outline="0" axis="axisRow" fieldPosition="0">
        <references count="1">
          <reference field="4294967294" count="1" selected="0">
            <x v="32"/>
          </reference>
        </references>
      </pivotArea>
    </format>
    <format dxfId="2138">
      <pivotArea field="0" dataOnly="0" labelOnly="1" grandRow="1" outline="0" axis="axisRow" fieldPosition="0">
        <references count="1">
          <reference field="4294967294" count="1" selected="0">
            <x v="33"/>
          </reference>
        </references>
      </pivotArea>
    </format>
    <format dxfId="2139">
      <pivotArea field="0" dataOnly="0" labelOnly="1" grandRow="1" outline="0" axis="axisRow" fieldPosition="0">
        <references count="1">
          <reference field="4294967294" count="1" selected="0">
            <x v="34"/>
          </reference>
        </references>
      </pivotArea>
    </format>
    <format dxfId="2140">
      <pivotArea field="0" dataOnly="0" labelOnly="1" grandRow="1" outline="0" axis="axisRow" fieldPosition="0">
        <references count="1">
          <reference field="4294967294" count="1" selected="0">
            <x v="35"/>
          </reference>
        </references>
      </pivotArea>
    </format>
    <format dxfId="2141">
      <pivotArea field="0" dataOnly="0" labelOnly="1" grandRow="1" outline="0" axis="axisRow" fieldPosition="0">
        <references count="1">
          <reference field="4294967294" count="1" selected="0">
            <x v="0"/>
          </reference>
        </references>
      </pivotArea>
    </format>
    <format dxfId="2142">
      <pivotArea field="0" dataOnly="0" labelOnly="1" grandRow="1" outline="0" axis="axisRow" fieldPosition="0">
        <references count="1">
          <reference field="4294967294" count="1" selected="0">
            <x v="1"/>
          </reference>
        </references>
      </pivotArea>
    </format>
    <format dxfId="2143">
      <pivotArea field="0" dataOnly="0" labelOnly="1" grandRow="1" outline="0" axis="axisRow" fieldPosition="0">
        <references count="1">
          <reference field="4294967294" count="1" selected="0">
            <x v="2"/>
          </reference>
        </references>
      </pivotArea>
    </format>
    <format dxfId="2144">
      <pivotArea field="0" dataOnly="0" labelOnly="1" grandRow="1" outline="0" axis="axisRow" fieldPosition="0">
        <references count="1">
          <reference field="4294967294" count="1" selected="0">
            <x v="3"/>
          </reference>
        </references>
      </pivotArea>
    </format>
    <format dxfId="2145">
      <pivotArea field="0" dataOnly="0" labelOnly="1" grandRow="1" outline="0" axis="axisRow" fieldPosition="0">
        <references count="1">
          <reference field="4294967294" count="1" selected="0">
            <x v="4"/>
          </reference>
        </references>
      </pivotArea>
    </format>
    <format dxfId="2146">
      <pivotArea field="0" dataOnly="0" labelOnly="1" grandRow="1" outline="0" axis="axisRow" fieldPosition="0">
        <references count="1">
          <reference field="4294967294" count="1" selected="0">
            <x v="5"/>
          </reference>
        </references>
      </pivotArea>
    </format>
    <format dxfId="2147">
      <pivotArea field="0" dataOnly="0" labelOnly="1" grandRow="1" outline="0" axis="axisRow" fieldPosition="0">
        <references count="1">
          <reference field="4294967294" count="1" selected="0">
            <x v="6"/>
          </reference>
        </references>
      </pivotArea>
    </format>
    <format dxfId="2148">
      <pivotArea field="0" dataOnly="0" labelOnly="1" grandRow="1" outline="0" axis="axisRow" fieldPosition="0">
        <references count="1">
          <reference field="4294967294" count="1" selected="0">
            <x v="7"/>
          </reference>
        </references>
      </pivotArea>
    </format>
    <format dxfId="2149">
      <pivotArea field="0" dataOnly="0" labelOnly="1" grandRow="1" outline="0" axis="axisRow" fieldPosition="0">
        <references count="1">
          <reference field="4294967294" count="1" selected="0">
            <x v="8"/>
          </reference>
        </references>
      </pivotArea>
    </format>
    <format dxfId="2150">
      <pivotArea field="0" dataOnly="0" labelOnly="1" grandRow="1" outline="0" axis="axisRow" fieldPosition="0">
        <references count="1">
          <reference field="4294967294" count="1" selected="0">
            <x v="9"/>
          </reference>
        </references>
      </pivotArea>
    </format>
    <format dxfId="2151">
      <pivotArea field="0" dataOnly="0" labelOnly="1" grandRow="1" outline="0" axis="axisRow" fieldPosition="0">
        <references count="1">
          <reference field="4294967294" count="1" selected="0">
            <x v="10"/>
          </reference>
        </references>
      </pivotArea>
    </format>
    <format dxfId="2152">
      <pivotArea field="0" dataOnly="0" labelOnly="1" grandRow="1" outline="0" axis="axisRow" fieldPosition="0">
        <references count="1">
          <reference field="4294967294" count="1" selected="0">
            <x v="11"/>
          </reference>
        </references>
      </pivotArea>
    </format>
    <format dxfId="2153">
      <pivotArea field="0" dataOnly="0" labelOnly="1" grandRow="1" outline="0" axis="axisRow" fieldPosition="0">
        <references count="1">
          <reference field="4294967294" count="1" selected="0">
            <x v="12"/>
          </reference>
        </references>
      </pivotArea>
    </format>
    <format dxfId="2154">
      <pivotArea field="0" dataOnly="0" labelOnly="1" grandRow="1" outline="0" axis="axisRow" fieldPosition="0">
        <references count="1">
          <reference field="4294967294" count="1" selected="0">
            <x v="13"/>
          </reference>
        </references>
      </pivotArea>
    </format>
    <format dxfId="2155">
      <pivotArea field="0" dataOnly="0" labelOnly="1" grandRow="1" outline="0" axis="axisRow" fieldPosition="0">
        <references count="1">
          <reference field="4294967294" count="1" selected="0">
            <x v="14"/>
          </reference>
        </references>
      </pivotArea>
    </format>
    <format dxfId="2156">
      <pivotArea field="0" dataOnly="0" labelOnly="1" grandRow="1" outline="0" axis="axisRow" fieldPosition="0">
        <references count="1">
          <reference field="4294967294" count="1" selected="0">
            <x v="15"/>
          </reference>
        </references>
      </pivotArea>
    </format>
    <format dxfId="2157">
      <pivotArea field="0" dataOnly="0" labelOnly="1" grandRow="1" outline="0" axis="axisRow" fieldPosition="0">
        <references count="1">
          <reference field="4294967294" count="1" selected="0">
            <x v="16"/>
          </reference>
        </references>
      </pivotArea>
    </format>
    <format dxfId="2158">
      <pivotArea field="0" dataOnly="0" labelOnly="1" grandRow="1" outline="0" axis="axisRow" fieldPosition="0">
        <references count="1">
          <reference field="4294967294" count="1" selected="0">
            <x v="17"/>
          </reference>
        </references>
      </pivotArea>
    </format>
    <format dxfId="2159">
      <pivotArea field="0" dataOnly="0" labelOnly="1" grandRow="1" outline="0" axis="axisRow" fieldPosition="0">
        <references count="1">
          <reference field="4294967294" count="1" selected="0">
            <x v="18"/>
          </reference>
        </references>
      </pivotArea>
    </format>
    <format dxfId="2160">
      <pivotArea field="0" dataOnly="0" labelOnly="1" grandRow="1" outline="0" axis="axisRow" fieldPosition="0">
        <references count="1">
          <reference field="4294967294" count="1" selected="0">
            <x v="19"/>
          </reference>
        </references>
      </pivotArea>
    </format>
    <format dxfId="2161">
      <pivotArea field="0" dataOnly="0" labelOnly="1" grandRow="1" outline="0" axis="axisRow" fieldPosition="0">
        <references count="1">
          <reference field="4294967294" count="1" selected="0">
            <x v="20"/>
          </reference>
        </references>
      </pivotArea>
    </format>
    <format dxfId="2162">
      <pivotArea field="0" dataOnly="0" labelOnly="1" grandRow="1" outline="0" axis="axisRow" fieldPosition="0">
        <references count="1">
          <reference field="4294967294" count="1" selected="0">
            <x v="21"/>
          </reference>
        </references>
      </pivotArea>
    </format>
    <format dxfId="2163">
      <pivotArea field="0" dataOnly="0" labelOnly="1" grandRow="1" outline="0" axis="axisRow" fieldPosition="0">
        <references count="1">
          <reference field="4294967294" count="1" selected="0">
            <x v="22"/>
          </reference>
        </references>
      </pivotArea>
    </format>
    <format dxfId="2164">
      <pivotArea field="0" dataOnly="0" labelOnly="1" grandRow="1" outline="0" axis="axisRow" fieldPosition="0">
        <references count="1">
          <reference field="4294967294" count="1" selected="0">
            <x v="23"/>
          </reference>
        </references>
      </pivotArea>
    </format>
    <format dxfId="2165">
      <pivotArea field="0" dataOnly="0" labelOnly="1" grandRow="1" outline="0" axis="axisRow" fieldPosition="0">
        <references count="1">
          <reference field="4294967294" count="1" selected="0">
            <x v="24"/>
          </reference>
        </references>
      </pivotArea>
    </format>
    <format dxfId="2166">
      <pivotArea field="0" dataOnly="0" labelOnly="1" grandRow="1" outline="0" axis="axisRow" fieldPosition="0">
        <references count="1">
          <reference field="4294967294" count="1" selected="0">
            <x v="25"/>
          </reference>
        </references>
      </pivotArea>
    </format>
    <format dxfId="2167">
      <pivotArea field="0" dataOnly="0" labelOnly="1" grandRow="1" outline="0" axis="axisRow" fieldPosition="0">
        <references count="1">
          <reference field="4294967294" count="1" selected="0">
            <x v="26"/>
          </reference>
        </references>
      </pivotArea>
    </format>
    <format dxfId="2168">
      <pivotArea field="0" dataOnly="0" labelOnly="1" grandRow="1" outline="0" axis="axisRow" fieldPosition="0">
        <references count="1">
          <reference field="4294967294" count="1" selected="0">
            <x v="27"/>
          </reference>
        </references>
      </pivotArea>
    </format>
    <format dxfId="2169">
      <pivotArea field="0" dataOnly="0" labelOnly="1" grandRow="1" outline="0" axis="axisRow" fieldPosition="0">
        <references count="1">
          <reference field="4294967294" count="1" selected="0">
            <x v="28"/>
          </reference>
        </references>
      </pivotArea>
    </format>
    <format dxfId="2170">
      <pivotArea field="0" dataOnly="0" labelOnly="1" grandRow="1" outline="0" axis="axisRow" fieldPosition="0">
        <references count="1">
          <reference field="4294967294" count="1" selected="0">
            <x v="29"/>
          </reference>
        </references>
      </pivotArea>
    </format>
    <format dxfId="2171">
      <pivotArea field="0" dataOnly="0" labelOnly="1" grandRow="1" outline="0" axis="axisRow" fieldPosition="0">
        <references count="1">
          <reference field="4294967294" count="1" selected="0">
            <x v="30"/>
          </reference>
        </references>
      </pivotArea>
    </format>
    <format dxfId="2172">
      <pivotArea field="0" dataOnly="0" labelOnly="1" grandRow="1" outline="0" axis="axisRow" fieldPosition="0">
        <references count="1">
          <reference field="4294967294" count="1" selected="0">
            <x v="31"/>
          </reference>
        </references>
      </pivotArea>
    </format>
    <format dxfId="2173">
      <pivotArea field="0" dataOnly="0" labelOnly="1" grandRow="1" outline="0" axis="axisRow" fieldPosition="0">
        <references count="1">
          <reference field="4294967294" count="1" selected="0">
            <x v="32"/>
          </reference>
        </references>
      </pivotArea>
    </format>
    <format dxfId="2174">
      <pivotArea field="0" dataOnly="0" labelOnly="1" grandRow="1" outline="0" axis="axisRow" fieldPosition="0">
        <references count="1">
          <reference field="4294967294" count="1" selected="0">
            <x v="33"/>
          </reference>
        </references>
      </pivotArea>
    </format>
    <format dxfId="2175">
      <pivotArea field="0" dataOnly="0" labelOnly="1" grandRow="1" outline="0" axis="axisRow" fieldPosition="0">
        <references count="1">
          <reference field="4294967294" count="1" selected="0">
            <x v="34"/>
          </reference>
        </references>
      </pivotArea>
    </format>
    <format dxfId="2176">
      <pivotArea field="0" dataOnly="0" labelOnly="1" grandRow="1" outline="0" axis="axisRow" fieldPosition="0">
        <references count="1">
          <reference field="4294967294" count="1" selected="0">
            <x v="35"/>
          </reference>
        </references>
      </pivotArea>
    </format>
    <format dxfId="2177">
      <pivotArea field="0" dataOnly="0" labelOnly="1" grandRow="1" outline="0" axis="axisRow" fieldPosition="0">
        <references count="1">
          <reference field="4294967294" count="1" selected="0">
            <x v="0"/>
          </reference>
        </references>
      </pivotArea>
    </format>
    <format dxfId="2178">
      <pivotArea field="0" dataOnly="0" labelOnly="1" grandRow="1" outline="0" axis="axisRow" fieldPosition="0">
        <references count="1">
          <reference field="4294967294" count="1" selected="0">
            <x v="1"/>
          </reference>
        </references>
      </pivotArea>
    </format>
    <format dxfId="2179">
      <pivotArea field="0" dataOnly="0" labelOnly="1" grandRow="1" outline="0" axis="axisRow" fieldPosition="0">
        <references count="1">
          <reference field="4294967294" count="1" selected="0">
            <x v="2"/>
          </reference>
        </references>
      </pivotArea>
    </format>
    <format dxfId="2180">
      <pivotArea field="0" dataOnly="0" labelOnly="1" grandRow="1" outline="0" axis="axisRow" fieldPosition="0">
        <references count="1">
          <reference field="4294967294" count="1" selected="0">
            <x v="3"/>
          </reference>
        </references>
      </pivotArea>
    </format>
    <format dxfId="2181">
      <pivotArea field="0" dataOnly="0" labelOnly="1" grandRow="1" outline="0" axis="axisRow" fieldPosition="0">
        <references count="1">
          <reference field="4294967294" count="1" selected="0">
            <x v="4"/>
          </reference>
        </references>
      </pivotArea>
    </format>
    <format dxfId="2182">
      <pivotArea field="0" dataOnly="0" labelOnly="1" grandRow="1" outline="0" axis="axisRow" fieldPosition="0">
        <references count="1">
          <reference field="4294967294" count="1" selected="0">
            <x v="5"/>
          </reference>
        </references>
      </pivotArea>
    </format>
    <format dxfId="2183">
      <pivotArea field="0" dataOnly="0" labelOnly="1" grandRow="1" outline="0" axis="axisRow" fieldPosition="0">
        <references count="1">
          <reference field="4294967294" count="1" selected="0">
            <x v="6"/>
          </reference>
        </references>
      </pivotArea>
    </format>
    <format dxfId="2184">
      <pivotArea field="0" dataOnly="0" labelOnly="1" grandRow="1" outline="0" axis="axisRow" fieldPosition="0">
        <references count="1">
          <reference field="4294967294" count="1" selected="0">
            <x v="7"/>
          </reference>
        </references>
      </pivotArea>
    </format>
    <format dxfId="2185">
      <pivotArea field="0" dataOnly="0" labelOnly="1" grandRow="1" outline="0" axis="axisRow" fieldPosition="0">
        <references count="1">
          <reference field="4294967294" count="1" selected="0">
            <x v="8"/>
          </reference>
        </references>
      </pivotArea>
    </format>
    <format dxfId="2186">
      <pivotArea field="0" dataOnly="0" labelOnly="1" grandRow="1" outline="0" axis="axisRow" fieldPosition="0">
        <references count="1">
          <reference field="4294967294" count="1" selected="0">
            <x v="9"/>
          </reference>
        </references>
      </pivotArea>
    </format>
    <format dxfId="2187">
      <pivotArea field="0" dataOnly="0" labelOnly="1" grandRow="1" outline="0" axis="axisRow" fieldPosition="0">
        <references count="1">
          <reference field="4294967294" count="1" selected="0">
            <x v="10"/>
          </reference>
        </references>
      </pivotArea>
    </format>
    <format dxfId="2188">
      <pivotArea field="0" dataOnly="0" labelOnly="1" grandRow="1" outline="0" axis="axisRow" fieldPosition="0">
        <references count="1">
          <reference field="4294967294" count="1" selected="0">
            <x v="11"/>
          </reference>
        </references>
      </pivotArea>
    </format>
    <format dxfId="2189">
      <pivotArea field="0" dataOnly="0" labelOnly="1" grandRow="1" outline="0" axis="axisRow" fieldPosition="0">
        <references count="1">
          <reference field="4294967294" count="1" selected="0">
            <x v="12"/>
          </reference>
        </references>
      </pivotArea>
    </format>
    <format dxfId="2190">
      <pivotArea field="0" dataOnly="0" labelOnly="1" grandRow="1" outline="0" axis="axisRow" fieldPosition="0">
        <references count="1">
          <reference field="4294967294" count="1" selected="0">
            <x v="13"/>
          </reference>
        </references>
      </pivotArea>
    </format>
    <format dxfId="2191">
      <pivotArea field="0" dataOnly="0" labelOnly="1" grandRow="1" outline="0" axis="axisRow" fieldPosition="0">
        <references count="1">
          <reference field="4294967294" count="1" selected="0">
            <x v="14"/>
          </reference>
        </references>
      </pivotArea>
    </format>
    <format dxfId="2192">
      <pivotArea field="0" dataOnly="0" labelOnly="1" grandRow="1" outline="0" axis="axisRow" fieldPosition="0">
        <references count="1">
          <reference field="4294967294" count="1" selected="0">
            <x v="15"/>
          </reference>
        </references>
      </pivotArea>
    </format>
    <format dxfId="2193">
      <pivotArea field="0" dataOnly="0" labelOnly="1" grandRow="1" outline="0" axis="axisRow" fieldPosition="0">
        <references count="1">
          <reference field="4294967294" count="1" selected="0">
            <x v="16"/>
          </reference>
        </references>
      </pivotArea>
    </format>
    <format dxfId="2194">
      <pivotArea field="0" dataOnly="0" labelOnly="1" grandRow="1" outline="0" axis="axisRow" fieldPosition="0">
        <references count="1">
          <reference field="4294967294" count="1" selected="0">
            <x v="17"/>
          </reference>
        </references>
      </pivotArea>
    </format>
    <format dxfId="2195">
      <pivotArea field="0" dataOnly="0" labelOnly="1" grandRow="1" outline="0" axis="axisRow" fieldPosition="0">
        <references count="1">
          <reference field="4294967294" count="1" selected="0">
            <x v="18"/>
          </reference>
        </references>
      </pivotArea>
    </format>
    <format dxfId="2196">
      <pivotArea field="0" dataOnly="0" labelOnly="1" grandRow="1" outline="0" axis="axisRow" fieldPosition="0">
        <references count="1">
          <reference field="4294967294" count="1" selected="0">
            <x v="19"/>
          </reference>
        </references>
      </pivotArea>
    </format>
    <format dxfId="2197">
      <pivotArea field="0" dataOnly="0" labelOnly="1" grandRow="1" outline="0" axis="axisRow" fieldPosition="0">
        <references count="1">
          <reference field="4294967294" count="1" selected="0">
            <x v="20"/>
          </reference>
        </references>
      </pivotArea>
    </format>
    <format dxfId="2198">
      <pivotArea field="0" dataOnly="0" labelOnly="1" grandRow="1" outline="0" axis="axisRow" fieldPosition="0">
        <references count="1">
          <reference field="4294967294" count="1" selected="0">
            <x v="21"/>
          </reference>
        </references>
      </pivotArea>
    </format>
    <format dxfId="2199">
      <pivotArea field="0" dataOnly="0" labelOnly="1" grandRow="1" outline="0" axis="axisRow" fieldPosition="0">
        <references count="1">
          <reference field="4294967294" count="1" selected="0">
            <x v="22"/>
          </reference>
        </references>
      </pivotArea>
    </format>
    <format dxfId="2200">
      <pivotArea field="0" dataOnly="0" labelOnly="1" grandRow="1" outline="0" axis="axisRow" fieldPosition="0">
        <references count="1">
          <reference field="4294967294" count="1" selected="0">
            <x v="23"/>
          </reference>
        </references>
      </pivotArea>
    </format>
    <format dxfId="2201">
      <pivotArea field="0" dataOnly="0" labelOnly="1" grandRow="1" outline="0" axis="axisRow" fieldPosition="0">
        <references count="1">
          <reference field="4294967294" count="1" selected="0">
            <x v="24"/>
          </reference>
        </references>
      </pivotArea>
    </format>
    <format dxfId="2202">
      <pivotArea field="0" dataOnly="0" labelOnly="1" grandRow="1" outline="0" axis="axisRow" fieldPosition="0">
        <references count="1">
          <reference field="4294967294" count="1" selected="0">
            <x v="25"/>
          </reference>
        </references>
      </pivotArea>
    </format>
    <format dxfId="2203">
      <pivotArea field="0" dataOnly="0" labelOnly="1" grandRow="1" outline="0" axis="axisRow" fieldPosition="0">
        <references count="1">
          <reference field="4294967294" count="1" selected="0">
            <x v="26"/>
          </reference>
        </references>
      </pivotArea>
    </format>
    <format dxfId="2204">
      <pivotArea field="0" dataOnly="0" labelOnly="1" grandRow="1" outline="0" axis="axisRow" fieldPosition="0">
        <references count="1">
          <reference field="4294967294" count="1" selected="0">
            <x v="27"/>
          </reference>
        </references>
      </pivotArea>
    </format>
    <format dxfId="2205">
      <pivotArea field="0" dataOnly="0" labelOnly="1" grandRow="1" outline="0" axis="axisRow" fieldPosition="0">
        <references count="1">
          <reference field="4294967294" count="1" selected="0">
            <x v="28"/>
          </reference>
        </references>
      </pivotArea>
    </format>
    <format dxfId="2206">
      <pivotArea field="0" dataOnly="0" labelOnly="1" grandRow="1" outline="0" axis="axisRow" fieldPosition="0">
        <references count="1">
          <reference field="4294967294" count="1" selected="0">
            <x v="29"/>
          </reference>
        </references>
      </pivotArea>
    </format>
    <format dxfId="2207">
      <pivotArea field="0" dataOnly="0" labelOnly="1" grandRow="1" outline="0" axis="axisRow" fieldPosition="0">
        <references count="1">
          <reference field="4294967294" count="1" selected="0">
            <x v="30"/>
          </reference>
        </references>
      </pivotArea>
    </format>
    <format dxfId="2208">
      <pivotArea field="0" dataOnly="0" labelOnly="1" grandRow="1" outline="0" axis="axisRow" fieldPosition="0">
        <references count="1">
          <reference field="4294967294" count="1" selected="0">
            <x v="31"/>
          </reference>
        </references>
      </pivotArea>
    </format>
    <format dxfId="2209">
      <pivotArea field="0" dataOnly="0" labelOnly="1" grandRow="1" outline="0" axis="axisRow" fieldPosition="0">
        <references count="1">
          <reference field="4294967294" count="1" selected="0">
            <x v="32"/>
          </reference>
        </references>
      </pivotArea>
    </format>
    <format dxfId="2210">
      <pivotArea field="0" dataOnly="0" labelOnly="1" grandRow="1" outline="0" axis="axisRow" fieldPosition="0">
        <references count="1">
          <reference field="4294967294" count="1" selected="0">
            <x v="33"/>
          </reference>
        </references>
      </pivotArea>
    </format>
    <format dxfId="2211">
      <pivotArea field="0" dataOnly="0" labelOnly="1" grandRow="1" outline="0" axis="axisRow" fieldPosition="0">
        <references count="1">
          <reference field="4294967294" count="1" selected="0">
            <x v="34"/>
          </reference>
        </references>
      </pivotArea>
    </format>
    <format dxfId="2212">
      <pivotArea field="0" dataOnly="0" labelOnly="1" grandRow="1" outline="0" axis="axisRow" fieldPosition="0">
        <references count="1">
          <reference field="4294967294" count="1" selected="0">
            <x v="35"/>
          </reference>
        </references>
      </pivotArea>
    </format>
    <format dxfId="2213">
      <pivotArea field="0" dataOnly="0" labelOnly="1" grandRow="1" outline="0" axis="axisRow" fieldPosition="0">
        <references count="1">
          <reference field="4294967294" count="1" selected="0">
            <x v="0"/>
          </reference>
        </references>
      </pivotArea>
    </format>
    <format dxfId="2214">
      <pivotArea field="0" dataOnly="0" labelOnly="1" grandRow="1" outline="0" axis="axisRow" fieldPosition="0">
        <references count="1">
          <reference field="4294967294" count="1" selected="0">
            <x v="1"/>
          </reference>
        </references>
      </pivotArea>
    </format>
    <format dxfId="2215">
      <pivotArea field="0" dataOnly="0" labelOnly="1" grandRow="1" outline="0" axis="axisRow" fieldPosition="0">
        <references count="1">
          <reference field="4294967294" count="1" selected="0">
            <x v="2"/>
          </reference>
        </references>
      </pivotArea>
    </format>
    <format dxfId="2216">
      <pivotArea field="0" dataOnly="0" labelOnly="1" grandRow="1" outline="0" axis="axisRow" fieldPosition="0">
        <references count="1">
          <reference field="4294967294" count="1" selected="0">
            <x v="3"/>
          </reference>
        </references>
      </pivotArea>
    </format>
    <format dxfId="2217">
      <pivotArea field="0" dataOnly="0" labelOnly="1" grandRow="1" outline="0" axis="axisRow" fieldPosition="0">
        <references count="1">
          <reference field="4294967294" count="1" selected="0">
            <x v="4"/>
          </reference>
        </references>
      </pivotArea>
    </format>
    <format dxfId="2218">
      <pivotArea field="0" dataOnly="0" labelOnly="1" grandRow="1" outline="0" axis="axisRow" fieldPosition="0">
        <references count="1">
          <reference field="4294967294" count="1" selected="0">
            <x v="5"/>
          </reference>
        </references>
      </pivotArea>
    </format>
    <format dxfId="2219">
      <pivotArea field="0" dataOnly="0" labelOnly="1" grandRow="1" outline="0" axis="axisRow" fieldPosition="0">
        <references count="1">
          <reference field="4294967294" count="1" selected="0">
            <x v="6"/>
          </reference>
        </references>
      </pivotArea>
    </format>
    <format dxfId="2220">
      <pivotArea field="0" dataOnly="0" labelOnly="1" grandRow="1" outline="0" axis="axisRow" fieldPosition="0">
        <references count="1">
          <reference field="4294967294" count="1" selected="0">
            <x v="7"/>
          </reference>
        </references>
      </pivotArea>
    </format>
    <format dxfId="2221">
      <pivotArea field="0" dataOnly="0" labelOnly="1" grandRow="1" outline="0" axis="axisRow" fieldPosition="0">
        <references count="1">
          <reference field="4294967294" count="1" selected="0">
            <x v="8"/>
          </reference>
        </references>
      </pivotArea>
    </format>
    <format dxfId="2222">
      <pivotArea field="0" dataOnly="0" labelOnly="1" grandRow="1" outline="0" axis="axisRow" fieldPosition="0">
        <references count="1">
          <reference field="4294967294" count="1" selected="0">
            <x v="9"/>
          </reference>
        </references>
      </pivotArea>
    </format>
    <format dxfId="2223">
      <pivotArea field="0" dataOnly="0" labelOnly="1" grandRow="1" outline="0" axis="axisRow" fieldPosition="0">
        <references count="1">
          <reference field="4294967294" count="1" selected="0">
            <x v="10"/>
          </reference>
        </references>
      </pivotArea>
    </format>
    <format dxfId="2224">
      <pivotArea field="0" dataOnly="0" labelOnly="1" grandRow="1" outline="0" axis="axisRow" fieldPosition="0">
        <references count="1">
          <reference field="4294967294" count="1" selected="0">
            <x v="11"/>
          </reference>
        </references>
      </pivotArea>
    </format>
    <format dxfId="2225">
      <pivotArea field="0" dataOnly="0" labelOnly="1" grandRow="1" outline="0" axis="axisRow" fieldPosition="0">
        <references count="1">
          <reference field="4294967294" count="1" selected="0">
            <x v="12"/>
          </reference>
        </references>
      </pivotArea>
    </format>
    <format dxfId="2226">
      <pivotArea field="0" dataOnly="0" labelOnly="1" grandRow="1" outline="0" axis="axisRow" fieldPosition="0">
        <references count="1">
          <reference field="4294967294" count="1" selected="0">
            <x v="13"/>
          </reference>
        </references>
      </pivotArea>
    </format>
    <format dxfId="2227">
      <pivotArea field="0" dataOnly="0" labelOnly="1" grandRow="1" outline="0" axis="axisRow" fieldPosition="0">
        <references count="1">
          <reference field="4294967294" count="1" selected="0">
            <x v="14"/>
          </reference>
        </references>
      </pivotArea>
    </format>
    <format dxfId="2228">
      <pivotArea field="0" dataOnly="0" labelOnly="1" grandRow="1" outline="0" axis="axisRow" fieldPosition="0">
        <references count="1">
          <reference field="4294967294" count="1" selected="0">
            <x v="15"/>
          </reference>
        </references>
      </pivotArea>
    </format>
    <format dxfId="2229">
      <pivotArea field="0" dataOnly="0" labelOnly="1" grandRow="1" outline="0" axis="axisRow" fieldPosition="0">
        <references count="1">
          <reference field="4294967294" count="1" selected="0">
            <x v="16"/>
          </reference>
        </references>
      </pivotArea>
    </format>
    <format dxfId="2230">
      <pivotArea field="0" dataOnly="0" labelOnly="1" grandRow="1" outline="0" axis="axisRow" fieldPosition="0">
        <references count="1">
          <reference field="4294967294" count="1" selected="0">
            <x v="17"/>
          </reference>
        </references>
      </pivotArea>
    </format>
    <format dxfId="2231">
      <pivotArea field="0" dataOnly="0" labelOnly="1" grandRow="1" outline="0" axis="axisRow" fieldPosition="0">
        <references count="1">
          <reference field="4294967294" count="1" selected="0">
            <x v="18"/>
          </reference>
        </references>
      </pivotArea>
    </format>
    <format dxfId="2232">
      <pivotArea field="0" dataOnly="0" labelOnly="1" grandRow="1" outline="0" axis="axisRow" fieldPosition="0">
        <references count="1">
          <reference field="4294967294" count="1" selected="0">
            <x v="19"/>
          </reference>
        </references>
      </pivotArea>
    </format>
    <format dxfId="2233">
      <pivotArea field="0" dataOnly="0" labelOnly="1" grandRow="1" outline="0" axis="axisRow" fieldPosition="0">
        <references count="1">
          <reference field="4294967294" count="1" selected="0">
            <x v="20"/>
          </reference>
        </references>
      </pivotArea>
    </format>
    <format dxfId="2234">
      <pivotArea field="0" dataOnly="0" labelOnly="1" grandRow="1" outline="0" axis="axisRow" fieldPosition="0">
        <references count="1">
          <reference field="4294967294" count="1" selected="0">
            <x v="21"/>
          </reference>
        </references>
      </pivotArea>
    </format>
    <format dxfId="2235">
      <pivotArea field="0" dataOnly="0" labelOnly="1" grandRow="1" outline="0" axis="axisRow" fieldPosition="0">
        <references count="1">
          <reference field="4294967294" count="1" selected="0">
            <x v="22"/>
          </reference>
        </references>
      </pivotArea>
    </format>
    <format dxfId="2236">
      <pivotArea field="0" dataOnly="0" labelOnly="1" grandRow="1" outline="0" axis="axisRow" fieldPosition="0">
        <references count="1">
          <reference field="4294967294" count="1" selected="0">
            <x v="23"/>
          </reference>
        </references>
      </pivotArea>
    </format>
    <format dxfId="2237">
      <pivotArea field="0" dataOnly="0" labelOnly="1" grandRow="1" outline="0" axis="axisRow" fieldPosition="0">
        <references count="1">
          <reference field="4294967294" count="1" selected="0">
            <x v="24"/>
          </reference>
        </references>
      </pivotArea>
    </format>
    <format dxfId="2238">
      <pivotArea field="0" dataOnly="0" labelOnly="1" grandRow="1" outline="0" axis="axisRow" fieldPosition="0">
        <references count="1">
          <reference field="4294967294" count="1" selected="0">
            <x v="25"/>
          </reference>
        </references>
      </pivotArea>
    </format>
    <format dxfId="2239">
      <pivotArea field="0" dataOnly="0" labelOnly="1" grandRow="1" outline="0" axis="axisRow" fieldPosition="0">
        <references count="1">
          <reference field="4294967294" count="1" selected="0">
            <x v="26"/>
          </reference>
        </references>
      </pivotArea>
    </format>
    <format dxfId="2240">
      <pivotArea field="0" dataOnly="0" labelOnly="1" grandRow="1" outline="0" axis="axisRow" fieldPosition="0">
        <references count="1">
          <reference field="4294967294" count="1" selected="0">
            <x v="27"/>
          </reference>
        </references>
      </pivotArea>
    </format>
    <format dxfId="2241">
      <pivotArea field="0" dataOnly="0" labelOnly="1" grandRow="1" outline="0" axis="axisRow" fieldPosition="0">
        <references count="1">
          <reference field="4294967294" count="1" selected="0">
            <x v="28"/>
          </reference>
        </references>
      </pivotArea>
    </format>
    <format dxfId="2242">
      <pivotArea field="0" dataOnly="0" labelOnly="1" grandRow="1" outline="0" axis="axisRow" fieldPosition="0">
        <references count="1">
          <reference field="4294967294" count="1" selected="0">
            <x v="29"/>
          </reference>
        </references>
      </pivotArea>
    </format>
    <format dxfId="2243">
      <pivotArea field="0" dataOnly="0" labelOnly="1" grandRow="1" outline="0" axis="axisRow" fieldPosition="0">
        <references count="1">
          <reference field="4294967294" count="1" selected="0">
            <x v="30"/>
          </reference>
        </references>
      </pivotArea>
    </format>
    <format dxfId="2244">
      <pivotArea field="0" dataOnly="0" labelOnly="1" grandRow="1" outline="0" axis="axisRow" fieldPosition="0">
        <references count="1">
          <reference field="4294967294" count="1" selected="0">
            <x v="31"/>
          </reference>
        </references>
      </pivotArea>
    </format>
    <format dxfId="2245">
      <pivotArea field="0" dataOnly="0" labelOnly="1" grandRow="1" outline="0" axis="axisRow" fieldPosition="0">
        <references count="1">
          <reference field="4294967294" count="1" selected="0">
            <x v="32"/>
          </reference>
        </references>
      </pivotArea>
    </format>
    <format dxfId="2246">
      <pivotArea field="0" dataOnly="0" labelOnly="1" grandRow="1" outline="0" axis="axisRow" fieldPosition="0">
        <references count="1">
          <reference field="4294967294" count="1" selected="0">
            <x v="33"/>
          </reference>
        </references>
      </pivotArea>
    </format>
    <format dxfId="2247">
      <pivotArea field="0" dataOnly="0" labelOnly="1" grandRow="1" outline="0" axis="axisRow" fieldPosition="0">
        <references count="1">
          <reference field="4294967294" count="1" selected="0">
            <x v="34"/>
          </reference>
        </references>
      </pivotArea>
    </format>
    <format dxfId="2248">
      <pivotArea field="0" dataOnly="0" labelOnly="1" grandRow="1" outline="0" axis="axisRow" fieldPosition="0">
        <references count="1">
          <reference field="4294967294" count="1" selected="0">
            <x v="35"/>
          </reference>
        </references>
      </pivotArea>
    </format>
    <format dxfId="2249">
      <pivotArea field="0" dataOnly="0" labelOnly="1" grandRow="1" outline="0" axis="axisRow" fieldPosition="0">
        <references count="1">
          <reference field="4294967294" count="1" selected="0">
            <x v="0"/>
          </reference>
        </references>
      </pivotArea>
    </format>
    <format dxfId="2250">
      <pivotArea field="0" dataOnly="0" labelOnly="1" grandRow="1" outline="0" axis="axisRow" fieldPosition="0">
        <references count="1">
          <reference field="4294967294" count="1" selected="0">
            <x v="1"/>
          </reference>
        </references>
      </pivotArea>
    </format>
    <format dxfId="2251">
      <pivotArea field="0" dataOnly="0" labelOnly="1" grandRow="1" outline="0" axis="axisRow" fieldPosition="0">
        <references count="1">
          <reference field="4294967294" count="1" selected="0">
            <x v="2"/>
          </reference>
        </references>
      </pivotArea>
    </format>
    <format dxfId="2252">
      <pivotArea field="0" dataOnly="0" labelOnly="1" grandRow="1" outline="0" axis="axisRow" fieldPosition="0">
        <references count="1">
          <reference field="4294967294" count="1" selected="0">
            <x v="3"/>
          </reference>
        </references>
      </pivotArea>
    </format>
    <format dxfId="2253">
      <pivotArea field="0" dataOnly="0" labelOnly="1" grandRow="1" outline="0" axis="axisRow" fieldPosition="0">
        <references count="1">
          <reference field="4294967294" count="1" selected="0">
            <x v="4"/>
          </reference>
        </references>
      </pivotArea>
    </format>
    <format dxfId="2254">
      <pivotArea field="0" dataOnly="0" labelOnly="1" grandRow="1" outline="0" axis="axisRow" fieldPosition="0">
        <references count="1">
          <reference field="4294967294" count="1" selected="0">
            <x v="5"/>
          </reference>
        </references>
      </pivotArea>
    </format>
    <format dxfId="2255">
      <pivotArea field="0" dataOnly="0" labelOnly="1" grandRow="1" outline="0" axis="axisRow" fieldPosition="0">
        <references count="1">
          <reference field="4294967294" count="1" selected="0">
            <x v="6"/>
          </reference>
        </references>
      </pivotArea>
    </format>
    <format dxfId="2256">
      <pivotArea field="0" dataOnly="0" labelOnly="1" grandRow="1" outline="0" axis="axisRow" fieldPosition="0">
        <references count="1">
          <reference field="4294967294" count="1" selected="0">
            <x v="7"/>
          </reference>
        </references>
      </pivotArea>
    </format>
    <format dxfId="2257">
      <pivotArea field="0" dataOnly="0" labelOnly="1" grandRow="1" outline="0" axis="axisRow" fieldPosition="0">
        <references count="1">
          <reference field="4294967294" count="1" selected="0">
            <x v="8"/>
          </reference>
        </references>
      </pivotArea>
    </format>
    <format dxfId="2258">
      <pivotArea field="0" dataOnly="0" labelOnly="1" grandRow="1" outline="0" axis="axisRow" fieldPosition="0">
        <references count="1">
          <reference field="4294967294" count="1" selected="0">
            <x v="9"/>
          </reference>
        </references>
      </pivotArea>
    </format>
    <format dxfId="2259">
      <pivotArea field="0" dataOnly="0" labelOnly="1" grandRow="1" outline="0" axis="axisRow" fieldPosition="0">
        <references count="1">
          <reference field="4294967294" count="1" selected="0">
            <x v="10"/>
          </reference>
        </references>
      </pivotArea>
    </format>
    <format dxfId="2260">
      <pivotArea field="0" dataOnly="0" labelOnly="1" grandRow="1" outline="0" axis="axisRow" fieldPosition="0">
        <references count="1">
          <reference field="4294967294" count="1" selected="0">
            <x v="11"/>
          </reference>
        </references>
      </pivotArea>
    </format>
    <format dxfId="2261">
      <pivotArea field="0" dataOnly="0" labelOnly="1" grandRow="1" outline="0" axis="axisRow" fieldPosition="0">
        <references count="1">
          <reference field="4294967294" count="1" selected="0">
            <x v="12"/>
          </reference>
        </references>
      </pivotArea>
    </format>
    <format dxfId="2262">
      <pivotArea field="0" dataOnly="0" labelOnly="1" grandRow="1" outline="0" axis="axisRow" fieldPosition="0">
        <references count="1">
          <reference field="4294967294" count="1" selected="0">
            <x v="13"/>
          </reference>
        </references>
      </pivotArea>
    </format>
    <format dxfId="2263">
      <pivotArea field="0" dataOnly="0" labelOnly="1" grandRow="1" outline="0" axis="axisRow" fieldPosition="0">
        <references count="1">
          <reference field="4294967294" count="1" selected="0">
            <x v="14"/>
          </reference>
        </references>
      </pivotArea>
    </format>
    <format dxfId="2264">
      <pivotArea field="0" dataOnly="0" labelOnly="1" grandRow="1" outline="0" axis="axisRow" fieldPosition="0">
        <references count="1">
          <reference field="4294967294" count="1" selected="0">
            <x v="15"/>
          </reference>
        </references>
      </pivotArea>
    </format>
    <format dxfId="2265">
      <pivotArea field="0" dataOnly="0" labelOnly="1" grandRow="1" outline="0" axis="axisRow" fieldPosition="0">
        <references count="1">
          <reference field="4294967294" count="1" selected="0">
            <x v="16"/>
          </reference>
        </references>
      </pivotArea>
    </format>
    <format dxfId="2266">
      <pivotArea field="0" dataOnly="0" labelOnly="1" grandRow="1" outline="0" axis="axisRow" fieldPosition="0">
        <references count="1">
          <reference field="4294967294" count="1" selected="0">
            <x v="17"/>
          </reference>
        </references>
      </pivotArea>
    </format>
    <format dxfId="2267">
      <pivotArea field="0" dataOnly="0" labelOnly="1" grandRow="1" outline="0" axis="axisRow" fieldPosition="0">
        <references count="1">
          <reference field="4294967294" count="1" selected="0">
            <x v="18"/>
          </reference>
        </references>
      </pivotArea>
    </format>
    <format dxfId="2268">
      <pivotArea field="0" dataOnly="0" labelOnly="1" grandRow="1" outline="0" axis="axisRow" fieldPosition="0">
        <references count="1">
          <reference field="4294967294" count="1" selected="0">
            <x v="19"/>
          </reference>
        </references>
      </pivotArea>
    </format>
    <format dxfId="2269">
      <pivotArea field="0" dataOnly="0" labelOnly="1" grandRow="1" outline="0" axis="axisRow" fieldPosition="0">
        <references count="1">
          <reference field="4294967294" count="1" selected="0">
            <x v="20"/>
          </reference>
        </references>
      </pivotArea>
    </format>
    <format dxfId="2270">
      <pivotArea field="0" dataOnly="0" labelOnly="1" grandRow="1" outline="0" axis="axisRow" fieldPosition="0">
        <references count="1">
          <reference field="4294967294" count="1" selected="0">
            <x v="21"/>
          </reference>
        </references>
      </pivotArea>
    </format>
    <format dxfId="2271">
      <pivotArea field="0" dataOnly="0" labelOnly="1" grandRow="1" outline="0" axis="axisRow" fieldPosition="0">
        <references count="1">
          <reference field="4294967294" count="1" selected="0">
            <x v="22"/>
          </reference>
        </references>
      </pivotArea>
    </format>
    <format dxfId="2272">
      <pivotArea field="0" dataOnly="0" labelOnly="1" grandRow="1" outline="0" axis="axisRow" fieldPosition="0">
        <references count="1">
          <reference field="4294967294" count="1" selected="0">
            <x v="23"/>
          </reference>
        </references>
      </pivotArea>
    </format>
    <format dxfId="2273">
      <pivotArea field="0" dataOnly="0" labelOnly="1" grandRow="1" outline="0" axis="axisRow" fieldPosition="0">
        <references count="1">
          <reference field="4294967294" count="1" selected="0">
            <x v="24"/>
          </reference>
        </references>
      </pivotArea>
    </format>
    <format dxfId="2274">
      <pivotArea field="0" dataOnly="0" labelOnly="1" grandRow="1" outline="0" axis="axisRow" fieldPosition="0">
        <references count="1">
          <reference field="4294967294" count="1" selected="0">
            <x v="25"/>
          </reference>
        </references>
      </pivotArea>
    </format>
    <format dxfId="2275">
      <pivotArea field="0" dataOnly="0" labelOnly="1" grandRow="1" outline="0" axis="axisRow" fieldPosition="0">
        <references count="1">
          <reference field="4294967294" count="1" selected="0">
            <x v="26"/>
          </reference>
        </references>
      </pivotArea>
    </format>
    <format dxfId="2276">
      <pivotArea field="0" dataOnly="0" labelOnly="1" grandRow="1" outline="0" axis="axisRow" fieldPosition="0">
        <references count="1">
          <reference field="4294967294" count="1" selected="0">
            <x v="27"/>
          </reference>
        </references>
      </pivotArea>
    </format>
    <format dxfId="2277">
      <pivotArea field="0" dataOnly="0" labelOnly="1" grandRow="1" outline="0" axis="axisRow" fieldPosition="0">
        <references count="1">
          <reference field="4294967294" count="1" selected="0">
            <x v="28"/>
          </reference>
        </references>
      </pivotArea>
    </format>
    <format dxfId="2278">
      <pivotArea field="0" dataOnly="0" labelOnly="1" grandRow="1" outline="0" axis="axisRow" fieldPosition="0">
        <references count="1">
          <reference field="4294967294" count="1" selected="0">
            <x v="29"/>
          </reference>
        </references>
      </pivotArea>
    </format>
    <format dxfId="2279">
      <pivotArea field="0" dataOnly="0" labelOnly="1" grandRow="1" outline="0" axis="axisRow" fieldPosition="0">
        <references count="1">
          <reference field="4294967294" count="1" selected="0">
            <x v="30"/>
          </reference>
        </references>
      </pivotArea>
    </format>
    <format dxfId="2280">
      <pivotArea field="0" dataOnly="0" labelOnly="1" grandRow="1" outline="0" axis="axisRow" fieldPosition="0">
        <references count="1">
          <reference field="4294967294" count="1" selected="0">
            <x v="31"/>
          </reference>
        </references>
      </pivotArea>
    </format>
    <format dxfId="2281">
      <pivotArea field="0" dataOnly="0" labelOnly="1" grandRow="1" outline="0" axis="axisRow" fieldPosition="0">
        <references count="1">
          <reference field="4294967294" count="1" selected="0">
            <x v="32"/>
          </reference>
        </references>
      </pivotArea>
    </format>
    <format dxfId="2282">
      <pivotArea field="0" dataOnly="0" labelOnly="1" grandRow="1" outline="0" axis="axisRow" fieldPosition="0">
        <references count="1">
          <reference field="4294967294" count="1" selected="0">
            <x v="33"/>
          </reference>
        </references>
      </pivotArea>
    </format>
    <format dxfId="2283">
      <pivotArea field="0" dataOnly="0" labelOnly="1" grandRow="1" outline="0" axis="axisRow" fieldPosition="0">
        <references count="1">
          <reference field="4294967294" count="1" selected="0">
            <x v="34"/>
          </reference>
        </references>
      </pivotArea>
    </format>
    <format dxfId="2284">
      <pivotArea field="0" dataOnly="0" labelOnly="1" grandRow="1" outline="0" axis="axisRow" fieldPosition="0">
        <references count="1">
          <reference field="4294967294" count="1" selected="0">
            <x v="35"/>
          </reference>
        </references>
      </pivotArea>
    </format>
    <format dxfId="2285">
      <pivotArea field="0" dataOnly="0" labelOnly="1" grandRow="1" outline="0" axis="axisRow" fieldPosition="0">
        <references count="1">
          <reference field="4294967294" count="1" selected="0">
            <x v="0"/>
          </reference>
        </references>
      </pivotArea>
    </format>
    <format dxfId="2286">
      <pivotArea field="0" dataOnly="0" labelOnly="1" grandRow="1" outline="0" axis="axisRow" fieldPosition="0">
        <references count="1">
          <reference field="4294967294" count="1" selected="0">
            <x v="1"/>
          </reference>
        </references>
      </pivotArea>
    </format>
    <format dxfId="2287">
      <pivotArea field="0" dataOnly="0" labelOnly="1" grandRow="1" outline="0" axis="axisRow" fieldPosition="0">
        <references count="1">
          <reference field="4294967294" count="1" selected="0">
            <x v="2"/>
          </reference>
        </references>
      </pivotArea>
    </format>
    <format dxfId="2288">
      <pivotArea field="0" dataOnly="0" labelOnly="1" grandRow="1" outline="0" axis="axisRow" fieldPosition="0">
        <references count="1">
          <reference field="4294967294" count="1" selected="0">
            <x v="3"/>
          </reference>
        </references>
      </pivotArea>
    </format>
    <format dxfId="2289">
      <pivotArea field="0" dataOnly="0" labelOnly="1" grandRow="1" outline="0" axis="axisRow" fieldPosition="0">
        <references count="1">
          <reference field="4294967294" count="1" selected="0">
            <x v="4"/>
          </reference>
        </references>
      </pivotArea>
    </format>
    <format dxfId="2290">
      <pivotArea field="0" dataOnly="0" labelOnly="1" grandRow="1" outline="0" axis="axisRow" fieldPosition="0">
        <references count="1">
          <reference field="4294967294" count="1" selected="0">
            <x v="5"/>
          </reference>
        </references>
      </pivotArea>
    </format>
    <format dxfId="2291">
      <pivotArea field="0" dataOnly="0" labelOnly="1" grandRow="1" outline="0" axis="axisRow" fieldPosition="0">
        <references count="1">
          <reference field="4294967294" count="1" selected="0">
            <x v="6"/>
          </reference>
        </references>
      </pivotArea>
    </format>
    <format dxfId="2292">
      <pivotArea field="0" dataOnly="0" labelOnly="1" grandRow="1" outline="0" axis="axisRow" fieldPosition="0">
        <references count="1">
          <reference field="4294967294" count="1" selected="0">
            <x v="7"/>
          </reference>
        </references>
      </pivotArea>
    </format>
    <format dxfId="2293">
      <pivotArea field="0" dataOnly="0" labelOnly="1" grandRow="1" outline="0" axis="axisRow" fieldPosition="0">
        <references count="1">
          <reference field="4294967294" count="1" selected="0">
            <x v="8"/>
          </reference>
        </references>
      </pivotArea>
    </format>
    <format dxfId="2294">
      <pivotArea field="0" dataOnly="0" labelOnly="1" grandRow="1" outline="0" axis="axisRow" fieldPosition="0">
        <references count="1">
          <reference field="4294967294" count="1" selected="0">
            <x v="9"/>
          </reference>
        </references>
      </pivotArea>
    </format>
    <format dxfId="2295">
      <pivotArea field="0" dataOnly="0" labelOnly="1" grandRow="1" outline="0" axis="axisRow" fieldPosition="0">
        <references count="1">
          <reference field="4294967294" count="1" selected="0">
            <x v="10"/>
          </reference>
        </references>
      </pivotArea>
    </format>
    <format dxfId="2296">
      <pivotArea field="0" dataOnly="0" labelOnly="1" grandRow="1" outline="0" axis="axisRow" fieldPosition="0">
        <references count="1">
          <reference field="4294967294" count="1" selected="0">
            <x v="11"/>
          </reference>
        </references>
      </pivotArea>
    </format>
    <format dxfId="2297">
      <pivotArea field="0" dataOnly="0" labelOnly="1" grandRow="1" outline="0" axis="axisRow" fieldPosition="0">
        <references count="1">
          <reference field="4294967294" count="1" selected="0">
            <x v="12"/>
          </reference>
        </references>
      </pivotArea>
    </format>
    <format dxfId="2298">
      <pivotArea field="0" dataOnly="0" labelOnly="1" grandRow="1" outline="0" axis="axisRow" fieldPosition="0">
        <references count="1">
          <reference field="4294967294" count="1" selected="0">
            <x v="13"/>
          </reference>
        </references>
      </pivotArea>
    </format>
    <format dxfId="2299">
      <pivotArea field="0" dataOnly="0" labelOnly="1" grandRow="1" outline="0" axis="axisRow" fieldPosition="0">
        <references count="1">
          <reference field="4294967294" count="1" selected="0">
            <x v="14"/>
          </reference>
        </references>
      </pivotArea>
    </format>
    <format dxfId="2300">
      <pivotArea field="0" dataOnly="0" labelOnly="1" grandRow="1" outline="0" axis="axisRow" fieldPosition="0">
        <references count="1">
          <reference field="4294967294" count="1" selected="0">
            <x v="15"/>
          </reference>
        </references>
      </pivotArea>
    </format>
    <format dxfId="2301">
      <pivotArea field="0" dataOnly="0" labelOnly="1" grandRow="1" outline="0" axis="axisRow" fieldPosition="0">
        <references count="1">
          <reference field="4294967294" count="1" selected="0">
            <x v="16"/>
          </reference>
        </references>
      </pivotArea>
    </format>
    <format dxfId="2302">
      <pivotArea field="0" dataOnly="0" labelOnly="1" grandRow="1" outline="0" axis="axisRow" fieldPosition="0">
        <references count="1">
          <reference field="4294967294" count="1" selected="0">
            <x v="17"/>
          </reference>
        </references>
      </pivotArea>
    </format>
    <format dxfId="2303">
      <pivotArea field="0" dataOnly="0" labelOnly="1" grandRow="1" outline="0" axis="axisRow" fieldPosition="0">
        <references count="1">
          <reference field="4294967294" count="1" selected="0">
            <x v="18"/>
          </reference>
        </references>
      </pivotArea>
    </format>
    <format dxfId="2304">
      <pivotArea field="0" dataOnly="0" labelOnly="1" grandRow="1" outline="0" axis="axisRow" fieldPosition="0">
        <references count="1">
          <reference field="4294967294" count="1" selected="0">
            <x v="19"/>
          </reference>
        </references>
      </pivotArea>
    </format>
    <format dxfId="2305">
      <pivotArea field="0" dataOnly="0" labelOnly="1" grandRow="1" outline="0" axis="axisRow" fieldPosition="0">
        <references count="1">
          <reference field="4294967294" count="1" selected="0">
            <x v="20"/>
          </reference>
        </references>
      </pivotArea>
    </format>
    <format dxfId="2306">
      <pivotArea field="0" dataOnly="0" labelOnly="1" grandRow="1" outline="0" axis="axisRow" fieldPosition="0">
        <references count="1">
          <reference field="4294967294" count="1" selected="0">
            <x v="21"/>
          </reference>
        </references>
      </pivotArea>
    </format>
    <format dxfId="2307">
      <pivotArea field="0" dataOnly="0" labelOnly="1" grandRow="1" outline="0" axis="axisRow" fieldPosition="0">
        <references count="1">
          <reference field="4294967294" count="1" selected="0">
            <x v="22"/>
          </reference>
        </references>
      </pivotArea>
    </format>
    <format dxfId="2308">
      <pivotArea field="0" dataOnly="0" labelOnly="1" grandRow="1" outline="0" axis="axisRow" fieldPosition="0">
        <references count="1">
          <reference field="4294967294" count="1" selected="0">
            <x v="23"/>
          </reference>
        </references>
      </pivotArea>
    </format>
    <format dxfId="2309">
      <pivotArea field="0" dataOnly="0" labelOnly="1" grandRow="1" outline="0" axis="axisRow" fieldPosition="0">
        <references count="1">
          <reference field="4294967294" count="1" selected="0">
            <x v="24"/>
          </reference>
        </references>
      </pivotArea>
    </format>
    <format dxfId="2310">
      <pivotArea field="0" dataOnly="0" labelOnly="1" grandRow="1" outline="0" axis="axisRow" fieldPosition="0">
        <references count="1">
          <reference field="4294967294" count="1" selected="0">
            <x v="25"/>
          </reference>
        </references>
      </pivotArea>
    </format>
    <format dxfId="2311">
      <pivotArea field="0" dataOnly="0" labelOnly="1" grandRow="1" outline="0" axis="axisRow" fieldPosition="0">
        <references count="1">
          <reference field="4294967294" count="1" selected="0">
            <x v="26"/>
          </reference>
        </references>
      </pivotArea>
    </format>
    <format dxfId="2312">
      <pivotArea field="0" dataOnly="0" labelOnly="1" grandRow="1" outline="0" axis="axisRow" fieldPosition="0">
        <references count="1">
          <reference field="4294967294" count="1" selected="0">
            <x v="27"/>
          </reference>
        </references>
      </pivotArea>
    </format>
    <format dxfId="2313">
      <pivotArea field="0" dataOnly="0" labelOnly="1" grandRow="1" outline="0" axis="axisRow" fieldPosition="0">
        <references count="1">
          <reference field="4294967294" count="1" selected="0">
            <x v="28"/>
          </reference>
        </references>
      </pivotArea>
    </format>
    <format dxfId="2314">
      <pivotArea field="0" dataOnly="0" labelOnly="1" grandRow="1" outline="0" axis="axisRow" fieldPosition="0">
        <references count="1">
          <reference field="4294967294" count="1" selected="0">
            <x v="29"/>
          </reference>
        </references>
      </pivotArea>
    </format>
    <format dxfId="2315">
      <pivotArea field="0" dataOnly="0" labelOnly="1" grandRow="1" outline="0" axis="axisRow" fieldPosition="0">
        <references count="1">
          <reference field="4294967294" count="1" selected="0">
            <x v="30"/>
          </reference>
        </references>
      </pivotArea>
    </format>
    <format dxfId="2316">
      <pivotArea field="0" dataOnly="0" labelOnly="1" grandRow="1" outline="0" axis="axisRow" fieldPosition="0">
        <references count="1">
          <reference field="4294967294" count="1" selected="0">
            <x v="31"/>
          </reference>
        </references>
      </pivotArea>
    </format>
    <format dxfId="2317">
      <pivotArea field="0" dataOnly="0" labelOnly="1" grandRow="1" outline="0" axis="axisRow" fieldPosition="0">
        <references count="1">
          <reference field="4294967294" count="1" selected="0">
            <x v="32"/>
          </reference>
        </references>
      </pivotArea>
    </format>
    <format dxfId="2318">
      <pivotArea field="0" dataOnly="0" labelOnly="1" grandRow="1" outline="0" axis="axisRow" fieldPosition="0">
        <references count="1">
          <reference field="4294967294" count="1" selected="0">
            <x v="33"/>
          </reference>
        </references>
      </pivotArea>
    </format>
    <format dxfId="2319">
      <pivotArea field="0" dataOnly="0" labelOnly="1" grandRow="1" outline="0" axis="axisRow" fieldPosition="0">
        <references count="1">
          <reference field="4294967294" count="1" selected="0">
            <x v="34"/>
          </reference>
        </references>
      </pivotArea>
    </format>
    <format dxfId="2320">
      <pivotArea field="0" dataOnly="0" labelOnly="1" grandRow="1" outline="0" axis="axisRow" fieldPosition="0">
        <references count="1">
          <reference field="4294967294" count="1" selected="0">
            <x v="35"/>
          </reference>
        </references>
      </pivotArea>
    </format>
    <format dxfId="2321">
      <pivotArea field="0" dataOnly="0" labelOnly="1" grandRow="1" outline="0" axis="axisRow" fieldPosition="0">
        <references count="1">
          <reference field="4294967294" count="1" selected="0">
            <x v="0"/>
          </reference>
        </references>
      </pivotArea>
    </format>
    <format dxfId="2322">
      <pivotArea field="0" dataOnly="0" labelOnly="1" grandRow="1" outline="0" axis="axisRow" fieldPosition="0">
        <references count="1">
          <reference field="4294967294" count="1" selected="0">
            <x v="1"/>
          </reference>
        </references>
      </pivotArea>
    </format>
    <format dxfId="2323">
      <pivotArea field="0" dataOnly="0" labelOnly="1" grandRow="1" outline="0" axis="axisRow" fieldPosition="0">
        <references count="1">
          <reference field="4294967294" count="1" selected="0">
            <x v="2"/>
          </reference>
        </references>
      </pivotArea>
    </format>
    <format dxfId="2324">
      <pivotArea field="0" dataOnly="0" labelOnly="1" grandRow="1" outline="0" axis="axisRow" fieldPosition="0">
        <references count="1">
          <reference field="4294967294" count="1" selected="0">
            <x v="3"/>
          </reference>
        </references>
      </pivotArea>
    </format>
    <format dxfId="2325">
      <pivotArea field="0" dataOnly="0" labelOnly="1" grandRow="1" outline="0" axis="axisRow" fieldPosition="0">
        <references count="1">
          <reference field="4294967294" count="1" selected="0">
            <x v="4"/>
          </reference>
        </references>
      </pivotArea>
    </format>
    <format dxfId="2326">
      <pivotArea field="0" dataOnly="0" labelOnly="1" grandRow="1" outline="0" axis="axisRow" fieldPosition="0">
        <references count="1">
          <reference field="4294967294" count="1" selected="0">
            <x v="5"/>
          </reference>
        </references>
      </pivotArea>
    </format>
    <format dxfId="2327">
      <pivotArea field="0" dataOnly="0" labelOnly="1" grandRow="1" outline="0" axis="axisRow" fieldPosition="0">
        <references count="1">
          <reference field="4294967294" count="1" selected="0">
            <x v="6"/>
          </reference>
        </references>
      </pivotArea>
    </format>
    <format dxfId="2328">
      <pivotArea field="0" dataOnly="0" labelOnly="1" grandRow="1" outline="0" axis="axisRow" fieldPosition="0">
        <references count="1">
          <reference field="4294967294" count="1" selected="0">
            <x v="7"/>
          </reference>
        </references>
      </pivotArea>
    </format>
    <format dxfId="2329">
      <pivotArea field="0" dataOnly="0" labelOnly="1" grandRow="1" outline="0" axis="axisRow" fieldPosition="0">
        <references count="1">
          <reference field="4294967294" count="1" selected="0">
            <x v="8"/>
          </reference>
        </references>
      </pivotArea>
    </format>
    <format dxfId="2330">
      <pivotArea field="0" dataOnly="0" labelOnly="1" grandRow="1" outline="0" axis="axisRow" fieldPosition="0">
        <references count="1">
          <reference field="4294967294" count="1" selected="0">
            <x v="9"/>
          </reference>
        </references>
      </pivotArea>
    </format>
    <format dxfId="2331">
      <pivotArea field="0" dataOnly="0" labelOnly="1" grandRow="1" outline="0" axis="axisRow" fieldPosition="0">
        <references count="1">
          <reference field="4294967294" count="1" selected="0">
            <x v="10"/>
          </reference>
        </references>
      </pivotArea>
    </format>
    <format dxfId="2332">
      <pivotArea field="0" dataOnly="0" labelOnly="1" grandRow="1" outline="0" axis="axisRow" fieldPosition="0">
        <references count="1">
          <reference field="4294967294" count="1" selected="0">
            <x v="11"/>
          </reference>
        </references>
      </pivotArea>
    </format>
    <format dxfId="2333">
      <pivotArea field="0" dataOnly="0" labelOnly="1" grandRow="1" outline="0" axis="axisRow" fieldPosition="0">
        <references count="1">
          <reference field="4294967294" count="1" selected="0">
            <x v="12"/>
          </reference>
        </references>
      </pivotArea>
    </format>
    <format dxfId="2334">
      <pivotArea field="0" dataOnly="0" labelOnly="1" grandRow="1" outline="0" axis="axisRow" fieldPosition="0">
        <references count="1">
          <reference field="4294967294" count="1" selected="0">
            <x v="13"/>
          </reference>
        </references>
      </pivotArea>
    </format>
    <format dxfId="2335">
      <pivotArea field="0" dataOnly="0" labelOnly="1" grandRow="1" outline="0" axis="axisRow" fieldPosition="0">
        <references count="1">
          <reference field="4294967294" count="1" selected="0">
            <x v="14"/>
          </reference>
        </references>
      </pivotArea>
    </format>
    <format dxfId="2336">
      <pivotArea field="0" dataOnly="0" labelOnly="1" grandRow="1" outline="0" axis="axisRow" fieldPosition="0">
        <references count="1">
          <reference field="4294967294" count="1" selected="0">
            <x v="15"/>
          </reference>
        </references>
      </pivotArea>
    </format>
    <format dxfId="2337">
      <pivotArea field="0" dataOnly="0" labelOnly="1" grandRow="1" outline="0" axis="axisRow" fieldPosition="0">
        <references count="1">
          <reference field="4294967294" count="1" selected="0">
            <x v="16"/>
          </reference>
        </references>
      </pivotArea>
    </format>
    <format dxfId="2338">
      <pivotArea field="0" dataOnly="0" labelOnly="1" grandRow="1" outline="0" axis="axisRow" fieldPosition="0">
        <references count="1">
          <reference field="4294967294" count="1" selected="0">
            <x v="17"/>
          </reference>
        </references>
      </pivotArea>
    </format>
    <format dxfId="2339">
      <pivotArea field="0" dataOnly="0" labelOnly="1" grandRow="1" outline="0" axis="axisRow" fieldPosition="0">
        <references count="1">
          <reference field="4294967294" count="1" selected="0">
            <x v="18"/>
          </reference>
        </references>
      </pivotArea>
    </format>
    <format dxfId="2340">
      <pivotArea field="0" dataOnly="0" labelOnly="1" grandRow="1" outline="0" axis="axisRow" fieldPosition="0">
        <references count="1">
          <reference field="4294967294" count="1" selected="0">
            <x v="19"/>
          </reference>
        </references>
      </pivotArea>
    </format>
    <format dxfId="2341">
      <pivotArea field="0" dataOnly="0" labelOnly="1" grandRow="1" outline="0" axis="axisRow" fieldPosition="0">
        <references count="1">
          <reference field="4294967294" count="1" selected="0">
            <x v="20"/>
          </reference>
        </references>
      </pivotArea>
    </format>
    <format dxfId="2342">
      <pivotArea field="0" dataOnly="0" labelOnly="1" grandRow="1" outline="0" axis="axisRow" fieldPosition="0">
        <references count="1">
          <reference field="4294967294" count="1" selected="0">
            <x v="21"/>
          </reference>
        </references>
      </pivotArea>
    </format>
    <format dxfId="2343">
      <pivotArea field="0" dataOnly="0" labelOnly="1" grandRow="1" outline="0" axis="axisRow" fieldPosition="0">
        <references count="1">
          <reference field="4294967294" count="1" selected="0">
            <x v="22"/>
          </reference>
        </references>
      </pivotArea>
    </format>
    <format dxfId="2344">
      <pivotArea field="0" dataOnly="0" labelOnly="1" grandRow="1" outline="0" axis="axisRow" fieldPosition="0">
        <references count="1">
          <reference field="4294967294" count="1" selected="0">
            <x v="23"/>
          </reference>
        </references>
      </pivotArea>
    </format>
    <format dxfId="2345">
      <pivotArea field="0" dataOnly="0" labelOnly="1" grandRow="1" outline="0" axis="axisRow" fieldPosition="0">
        <references count="1">
          <reference field="4294967294" count="1" selected="0">
            <x v="24"/>
          </reference>
        </references>
      </pivotArea>
    </format>
    <format dxfId="2346">
      <pivotArea field="0" dataOnly="0" labelOnly="1" grandRow="1" outline="0" axis="axisRow" fieldPosition="0">
        <references count="1">
          <reference field="4294967294" count="1" selected="0">
            <x v="25"/>
          </reference>
        </references>
      </pivotArea>
    </format>
    <format dxfId="2347">
      <pivotArea field="0" dataOnly="0" labelOnly="1" grandRow="1" outline="0" axis="axisRow" fieldPosition="0">
        <references count="1">
          <reference field="4294967294" count="1" selected="0">
            <x v="26"/>
          </reference>
        </references>
      </pivotArea>
    </format>
    <format dxfId="2348">
      <pivotArea field="0" dataOnly="0" labelOnly="1" grandRow="1" outline="0" axis="axisRow" fieldPosition="0">
        <references count="1">
          <reference field="4294967294" count="1" selected="0">
            <x v="27"/>
          </reference>
        </references>
      </pivotArea>
    </format>
    <format dxfId="2349">
      <pivotArea field="0" dataOnly="0" labelOnly="1" grandRow="1" outline="0" axis="axisRow" fieldPosition="0">
        <references count="1">
          <reference field="4294967294" count="1" selected="0">
            <x v="28"/>
          </reference>
        </references>
      </pivotArea>
    </format>
    <format dxfId="2350">
      <pivotArea field="0" dataOnly="0" labelOnly="1" grandRow="1" outline="0" axis="axisRow" fieldPosition="0">
        <references count="1">
          <reference field="4294967294" count="1" selected="0">
            <x v="29"/>
          </reference>
        </references>
      </pivotArea>
    </format>
    <format dxfId="2351">
      <pivotArea field="0" dataOnly="0" labelOnly="1" grandRow="1" outline="0" axis="axisRow" fieldPosition="0">
        <references count="1">
          <reference field="4294967294" count="1" selected="0">
            <x v="30"/>
          </reference>
        </references>
      </pivotArea>
    </format>
    <format dxfId="2352">
      <pivotArea field="0" dataOnly="0" labelOnly="1" grandRow="1" outline="0" axis="axisRow" fieldPosition="0">
        <references count="1">
          <reference field="4294967294" count="1" selected="0">
            <x v="31"/>
          </reference>
        </references>
      </pivotArea>
    </format>
    <format dxfId="2353">
      <pivotArea field="0" dataOnly="0" labelOnly="1" grandRow="1" outline="0" axis="axisRow" fieldPosition="0">
        <references count="1">
          <reference field="4294967294" count="1" selected="0">
            <x v="32"/>
          </reference>
        </references>
      </pivotArea>
    </format>
    <format dxfId="2354">
      <pivotArea field="0" dataOnly="0" labelOnly="1" grandRow="1" outline="0" axis="axisRow" fieldPosition="0">
        <references count="1">
          <reference field="4294967294" count="1" selected="0">
            <x v="33"/>
          </reference>
        </references>
      </pivotArea>
    </format>
    <format dxfId="2355">
      <pivotArea field="0" dataOnly="0" labelOnly="1" grandRow="1" outline="0" axis="axisRow" fieldPosition="0">
        <references count="1">
          <reference field="4294967294" count="1" selected="0">
            <x v="34"/>
          </reference>
        </references>
      </pivotArea>
    </format>
    <format dxfId="2356">
      <pivotArea field="0" dataOnly="0" labelOnly="1" grandRow="1" outline="0" axis="axisRow" fieldPosition="0">
        <references count="1">
          <reference field="4294967294" count="1" selected="0">
            <x v="35"/>
          </reference>
        </references>
      </pivotArea>
    </format>
    <format dxfId="2357">
      <pivotArea field="0" dataOnly="0" labelOnly="1" grandRow="1" outline="0" axis="axisRow" fieldPosition="0">
        <references count="1">
          <reference field="4294967294" count="1" selected="0">
            <x v="0"/>
          </reference>
        </references>
      </pivotArea>
    </format>
    <format dxfId="2358">
      <pivotArea field="0" dataOnly="0" labelOnly="1" grandRow="1" outline="0" axis="axisRow" fieldPosition="0">
        <references count="1">
          <reference field="4294967294" count="1" selected="0">
            <x v="1"/>
          </reference>
        </references>
      </pivotArea>
    </format>
    <format dxfId="2359">
      <pivotArea field="0" dataOnly="0" labelOnly="1" grandRow="1" outline="0" axis="axisRow" fieldPosition="0">
        <references count="1">
          <reference field="4294967294" count="1" selected="0">
            <x v="2"/>
          </reference>
        </references>
      </pivotArea>
    </format>
    <format dxfId="2360">
      <pivotArea field="0" dataOnly="0" labelOnly="1" grandRow="1" outline="0" axis="axisRow" fieldPosition="0">
        <references count="1">
          <reference field="4294967294" count="1" selected="0">
            <x v="3"/>
          </reference>
        </references>
      </pivotArea>
    </format>
    <format dxfId="2361">
      <pivotArea field="0" dataOnly="0" labelOnly="1" grandRow="1" outline="0" axis="axisRow" fieldPosition="0">
        <references count="1">
          <reference field="4294967294" count="1" selected="0">
            <x v="4"/>
          </reference>
        </references>
      </pivotArea>
    </format>
    <format dxfId="2362">
      <pivotArea field="0" dataOnly="0" labelOnly="1" grandRow="1" outline="0" axis="axisRow" fieldPosition="0">
        <references count="1">
          <reference field="4294967294" count="1" selected="0">
            <x v="5"/>
          </reference>
        </references>
      </pivotArea>
    </format>
    <format dxfId="2363">
      <pivotArea field="0" dataOnly="0" labelOnly="1" grandRow="1" outline="0" axis="axisRow" fieldPosition="0">
        <references count="1">
          <reference field="4294967294" count="1" selected="0">
            <x v="6"/>
          </reference>
        </references>
      </pivotArea>
    </format>
    <format dxfId="2364">
      <pivotArea field="0" dataOnly="0" labelOnly="1" grandRow="1" outline="0" axis="axisRow" fieldPosition="0">
        <references count="1">
          <reference field="4294967294" count="1" selected="0">
            <x v="7"/>
          </reference>
        </references>
      </pivotArea>
    </format>
    <format dxfId="2365">
      <pivotArea field="0" dataOnly="0" labelOnly="1" grandRow="1" outline="0" axis="axisRow" fieldPosition="0">
        <references count="1">
          <reference field="4294967294" count="1" selected="0">
            <x v="8"/>
          </reference>
        </references>
      </pivotArea>
    </format>
    <format dxfId="2366">
      <pivotArea field="0" dataOnly="0" labelOnly="1" grandRow="1" outline="0" axis="axisRow" fieldPosition="0">
        <references count="1">
          <reference field="4294967294" count="1" selected="0">
            <x v="9"/>
          </reference>
        </references>
      </pivotArea>
    </format>
    <format dxfId="2367">
      <pivotArea field="0" dataOnly="0" labelOnly="1" grandRow="1" outline="0" axis="axisRow" fieldPosition="0">
        <references count="1">
          <reference field="4294967294" count="1" selected="0">
            <x v="10"/>
          </reference>
        </references>
      </pivotArea>
    </format>
    <format dxfId="2368">
      <pivotArea field="0" dataOnly="0" labelOnly="1" grandRow="1" outline="0" axis="axisRow" fieldPosition="0">
        <references count="1">
          <reference field="4294967294" count="1" selected="0">
            <x v="11"/>
          </reference>
        </references>
      </pivotArea>
    </format>
    <format dxfId="2369">
      <pivotArea field="0" dataOnly="0" labelOnly="1" grandRow="1" outline="0" axis="axisRow" fieldPosition="0">
        <references count="1">
          <reference field="4294967294" count="1" selected="0">
            <x v="12"/>
          </reference>
        </references>
      </pivotArea>
    </format>
    <format dxfId="2370">
      <pivotArea field="0" dataOnly="0" labelOnly="1" grandRow="1" outline="0" axis="axisRow" fieldPosition="0">
        <references count="1">
          <reference field="4294967294" count="1" selected="0">
            <x v="13"/>
          </reference>
        </references>
      </pivotArea>
    </format>
    <format dxfId="2371">
      <pivotArea field="0" dataOnly="0" labelOnly="1" grandRow="1" outline="0" axis="axisRow" fieldPosition="0">
        <references count="1">
          <reference field="4294967294" count="1" selected="0">
            <x v="14"/>
          </reference>
        </references>
      </pivotArea>
    </format>
    <format dxfId="2372">
      <pivotArea field="0" dataOnly="0" labelOnly="1" grandRow="1" outline="0" axis="axisRow" fieldPosition="0">
        <references count="1">
          <reference field="4294967294" count="1" selected="0">
            <x v="15"/>
          </reference>
        </references>
      </pivotArea>
    </format>
    <format dxfId="2373">
      <pivotArea field="0" dataOnly="0" labelOnly="1" grandRow="1" outline="0" axis="axisRow" fieldPosition="0">
        <references count="1">
          <reference field="4294967294" count="1" selected="0">
            <x v="16"/>
          </reference>
        </references>
      </pivotArea>
    </format>
    <format dxfId="2374">
      <pivotArea field="0" dataOnly="0" labelOnly="1" grandRow="1" outline="0" axis="axisRow" fieldPosition="0">
        <references count="1">
          <reference field="4294967294" count="1" selected="0">
            <x v="17"/>
          </reference>
        </references>
      </pivotArea>
    </format>
    <format dxfId="2375">
      <pivotArea field="0" dataOnly="0" labelOnly="1" grandRow="1" outline="0" axis="axisRow" fieldPosition="0">
        <references count="1">
          <reference field="4294967294" count="1" selected="0">
            <x v="18"/>
          </reference>
        </references>
      </pivotArea>
    </format>
    <format dxfId="2376">
      <pivotArea field="0" dataOnly="0" labelOnly="1" grandRow="1" outline="0" axis="axisRow" fieldPosition="0">
        <references count="1">
          <reference field="4294967294" count="1" selected="0">
            <x v="19"/>
          </reference>
        </references>
      </pivotArea>
    </format>
    <format dxfId="2377">
      <pivotArea field="0" dataOnly="0" labelOnly="1" grandRow="1" outline="0" axis="axisRow" fieldPosition="0">
        <references count="1">
          <reference field="4294967294" count="1" selected="0">
            <x v="20"/>
          </reference>
        </references>
      </pivotArea>
    </format>
    <format dxfId="2378">
      <pivotArea field="0" dataOnly="0" labelOnly="1" grandRow="1" outline="0" axis="axisRow" fieldPosition="0">
        <references count="1">
          <reference field="4294967294" count="1" selected="0">
            <x v="21"/>
          </reference>
        </references>
      </pivotArea>
    </format>
    <format dxfId="2379">
      <pivotArea field="0" dataOnly="0" labelOnly="1" grandRow="1" outline="0" axis="axisRow" fieldPosition="0">
        <references count="1">
          <reference field="4294967294" count="1" selected="0">
            <x v="22"/>
          </reference>
        </references>
      </pivotArea>
    </format>
    <format dxfId="2380">
      <pivotArea field="0" dataOnly="0" labelOnly="1" grandRow="1" outline="0" axis="axisRow" fieldPosition="0">
        <references count="1">
          <reference field="4294967294" count="1" selected="0">
            <x v="23"/>
          </reference>
        </references>
      </pivotArea>
    </format>
    <format dxfId="2381">
      <pivotArea field="0" dataOnly="0" labelOnly="1" grandRow="1" outline="0" axis="axisRow" fieldPosition="0">
        <references count="1">
          <reference field="4294967294" count="1" selected="0">
            <x v="24"/>
          </reference>
        </references>
      </pivotArea>
    </format>
    <format dxfId="2382">
      <pivotArea field="0" dataOnly="0" labelOnly="1" grandRow="1" outline="0" axis="axisRow" fieldPosition="0">
        <references count="1">
          <reference field="4294967294" count="1" selected="0">
            <x v="25"/>
          </reference>
        </references>
      </pivotArea>
    </format>
    <format dxfId="2383">
      <pivotArea field="0" dataOnly="0" labelOnly="1" grandRow="1" outline="0" axis="axisRow" fieldPosition="0">
        <references count="1">
          <reference field="4294967294" count="1" selected="0">
            <x v="26"/>
          </reference>
        </references>
      </pivotArea>
    </format>
    <format dxfId="2384">
      <pivotArea field="0" dataOnly="0" labelOnly="1" grandRow="1" outline="0" axis="axisRow" fieldPosition="0">
        <references count="1">
          <reference field="4294967294" count="1" selected="0">
            <x v="27"/>
          </reference>
        </references>
      </pivotArea>
    </format>
    <format dxfId="2385">
      <pivotArea field="0" dataOnly="0" labelOnly="1" grandRow="1" outline="0" axis="axisRow" fieldPosition="0">
        <references count="1">
          <reference field="4294967294" count="1" selected="0">
            <x v="28"/>
          </reference>
        </references>
      </pivotArea>
    </format>
    <format dxfId="2386">
      <pivotArea field="0" dataOnly="0" labelOnly="1" grandRow="1" outline="0" axis="axisRow" fieldPosition="0">
        <references count="1">
          <reference field="4294967294" count="1" selected="0">
            <x v="29"/>
          </reference>
        </references>
      </pivotArea>
    </format>
    <format dxfId="2387">
      <pivotArea field="0" dataOnly="0" labelOnly="1" grandRow="1" outline="0" axis="axisRow" fieldPosition="0">
        <references count="1">
          <reference field="4294967294" count="1" selected="0">
            <x v="30"/>
          </reference>
        </references>
      </pivotArea>
    </format>
    <format dxfId="2388">
      <pivotArea field="0" dataOnly="0" labelOnly="1" grandRow="1" outline="0" axis="axisRow" fieldPosition="0">
        <references count="1">
          <reference field="4294967294" count="1" selected="0">
            <x v="31"/>
          </reference>
        </references>
      </pivotArea>
    </format>
    <format dxfId="2389">
      <pivotArea field="0" dataOnly="0" labelOnly="1" grandRow="1" outline="0" axis="axisRow" fieldPosition="0">
        <references count="1">
          <reference field="4294967294" count="1" selected="0">
            <x v="32"/>
          </reference>
        </references>
      </pivotArea>
    </format>
    <format dxfId="2390">
      <pivotArea field="0" dataOnly="0" labelOnly="1" grandRow="1" outline="0" axis="axisRow" fieldPosition="0">
        <references count="1">
          <reference field="4294967294" count="1" selected="0">
            <x v="33"/>
          </reference>
        </references>
      </pivotArea>
    </format>
    <format dxfId="2391">
      <pivotArea field="0" dataOnly="0" labelOnly="1" grandRow="1" outline="0" axis="axisRow" fieldPosition="0">
        <references count="1">
          <reference field="4294967294" count="1" selected="0">
            <x v="34"/>
          </reference>
        </references>
      </pivotArea>
    </format>
    <format dxfId="2392">
      <pivotArea field="0" dataOnly="0" labelOnly="1" grandRow="1" outline="0" axis="axisRow" fieldPosition="0">
        <references count="1">
          <reference field="4294967294" count="1" selected="0">
            <x v="35"/>
          </reference>
        </references>
      </pivotArea>
    </format>
    <format dxfId="2393">
      <pivotArea field="0" dataOnly="0" labelOnly="1" grandRow="1" outline="0" axis="axisRow" fieldPosition="0">
        <references count="1">
          <reference field="4294967294" count="1" selected="0">
            <x v="0"/>
          </reference>
        </references>
      </pivotArea>
    </format>
    <format dxfId="2394">
      <pivotArea field="0" dataOnly="0" labelOnly="1" grandRow="1" outline="0" axis="axisRow" fieldPosition="0">
        <references count="1">
          <reference field="4294967294" count="1" selected="0">
            <x v="1"/>
          </reference>
        </references>
      </pivotArea>
    </format>
    <format dxfId="2395">
      <pivotArea field="0" dataOnly="0" labelOnly="1" grandRow="1" outline="0" axis="axisRow" fieldPosition="0">
        <references count="1">
          <reference field="4294967294" count="1" selected="0">
            <x v="2"/>
          </reference>
        </references>
      </pivotArea>
    </format>
    <format dxfId="2396">
      <pivotArea field="0" dataOnly="0" labelOnly="1" grandRow="1" outline="0" axis="axisRow" fieldPosition="0">
        <references count="1">
          <reference field="4294967294" count="1" selected="0">
            <x v="3"/>
          </reference>
        </references>
      </pivotArea>
    </format>
    <format dxfId="2397">
      <pivotArea field="0" dataOnly="0" labelOnly="1" grandRow="1" outline="0" axis="axisRow" fieldPosition="0">
        <references count="1">
          <reference field="4294967294" count="1" selected="0">
            <x v="4"/>
          </reference>
        </references>
      </pivotArea>
    </format>
    <format dxfId="2398">
      <pivotArea field="0" dataOnly="0" labelOnly="1" grandRow="1" outline="0" axis="axisRow" fieldPosition="0">
        <references count="1">
          <reference field="4294967294" count="1" selected="0">
            <x v="5"/>
          </reference>
        </references>
      </pivotArea>
    </format>
    <format dxfId="2399">
      <pivotArea field="0" dataOnly="0" labelOnly="1" grandRow="1" outline="0" axis="axisRow" fieldPosition="0">
        <references count="1">
          <reference field="4294967294" count="1" selected="0">
            <x v="6"/>
          </reference>
        </references>
      </pivotArea>
    </format>
    <format dxfId="2400">
      <pivotArea field="0" dataOnly="0" labelOnly="1" grandRow="1" outline="0" axis="axisRow" fieldPosition="0">
        <references count="1">
          <reference field="4294967294" count="1" selected="0">
            <x v="7"/>
          </reference>
        </references>
      </pivotArea>
    </format>
    <format dxfId="2401">
      <pivotArea field="0" dataOnly="0" labelOnly="1" grandRow="1" outline="0" axis="axisRow" fieldPosition="0">
        <references count="1">
          <reference field="4294967294" count="1" selected="0">
            <x v="8"/>
          </reference>
        </references>
      </pivotArea>
    </format>
    <format dxfId="2402">
      <pivotArea field="0" dataOnly="0" labelOnly="1" grandRow="1" outline="0" axis="axisRow" fieldPosition="0">
        <references count="1">
          <reference field="4294967294" count="1" selected="0">
            <x v="9"/>
          </reference>
        </references>
      </pivotArea>
    </format>
    <format dxfId="2403">
      <pivotArea field="0" dataOnly="0" labelOnly="1" grandRow="1" outline="0" axis="axisRow" fieldPosition="0">
        <references count="1">
          <reference field="4294967294" count="1" selected="0">
            <x v="10"/>
          </reference>
        </references>
      </pivotArea>
    </format>
    <format dxfId="2404">
      <pivotArea field="0" dataOnly="0" labelOnly="1" grandRow="1" outline="0" axis="axisRow" fieldPosition="0">
        <references count="1">
          <reference field="4294967294" count="1" selected="0">
            <x v="11"/>
          </reference>
        </references>
      </pivotArea>
    </format>
    <format dxfId="2405">
      <pivotArea field="0" dataOnly="0" labelOnly="1" grandRow="1" outline="0" axis="axisRow" fieldPosition="0">
        <references count="1">
          <reference field="4294967294" count="1" selected="0">
            <x v="12"/>
          </reference>
        </references>
      </pivotArea>
    </format>
    <format dxfId="2406">
      <pivotArea field="0" dataOnly="0" labelOnly="1" grandRow="1" outline="0" axis="axisRow" fieldPosition="0">
        <references count="1">
          <reference field="4294967294" count="1" selected="0">
            <x v="13"/>
          </reference>
        </references>
      </pivotArea>
    </format>
    <format dxfId="2407">
      <pivotArea field="0" dataOnly="0" labelOnly="1" grandRow="1" outline="0" axis="axisRow" fieldPosition="0">
        <references count="1">
          <reference field="4294967294" count="1" selected="0">
            <x v="14"/>
          </reference>
        </references>
      </pivotArea>
    </format>
    <format dxfId="2408">
      <pivotArea field="0" dataOnly="0" labelOnly="1" grandRow="1" outline="0" axis="axisRow" fieldPosition="0">
        <references count="1">
          <reference field="4294967294" count="1" selected="0">
            <x v="15"/>
          </reference>
        </references>
      </pivotArea>
    </format>
    <format dxfId="2409">
      <pivotArea field="0" dataOnly="0" labelOnly="1" grandRow="1" outline="0" axis="axisRow" fieldPosition="0">
        <references count="1">
          <reference field="4294967294" count="1" selected="0">
            <x v="16"/>
          </reference>
        </references>
      </pivotArea>
    </format>
    <format dxfId="2410">
      <pivotArea field="0" dataOnly="0" labelOnly="1" grandRow="1" outline="0" axis="axisRow" fieldPosition="0">
        <references count="1">
          <reference field="4294967294" count="1" selected="0">
            <x v="17"/>
          </reference>
        </references>
      </pivotArea>
    </format>
    <format dxfId="2411">
      <pivotArea field="0" dataOnly="0" labelOnly="1" grandRow="1" outline="0" axis="axisRow" fieldPosition="0">
        <references count="1">
          <reference field="4294967294" count="1" selected="0">
            <x v="18"/>
          </reference>
        </references>
      </pivotArea>
    </format>
    <format dxfId="2412">
      <pivotArea field="0" dataOnly="0" labelOnly="1" grandRow="1" outline="0" axis="axisRow" fieldPosition="0">
        <references count="1">
          <reference field="4294967294" count="1" selected="0">
            <x v="19"/>
          </reference>
        </references>
      </pivotArea>
    </format>
    <format dxfId="2413">
      <pivotArea field="0" dataOnly="0" labelOnly="1" grandRow="1" outline="0" axis="axisRow" fieldPosition="0">
        <references count="1">
          <reference field="4294967294" count="1" selected="0">
            <x v="20"/>
          </reference>
        </references>
      </pivotArea>
    </format>
    <format dxfId="2414">
      <pivotArea field="0" dataOnly="0" labelOnly="1" grandRow="1" outline="0" axis="axisRow" fieldPosition="0">
        <references count="1">
          <reference field="4294967294" count="1" selected="0">
            <x v="21"/>
          </reference>
        </references>
      </pivotArea>
    </format>
    <format dxfId="2415">
      <pivotArea field="0" dataOnly="0" labelOnly="1" grandRow="1" outline="0" axis="axisRow" fieldPosition="0">
        <references count="1">
          <reference field="4294967294" count="1" selected="0">
            <x v="22"/>
          </reference>
        </references>
      </pivotArea>
    </format>
    <format dxfId="2416">
      <pivotArea field="0" dataOnly="0" labelOnly="1" grandRow="1" outline="0" axis="axisRow" fieldPosition="0">
        <references count="1">
          <reference field="4294967294" count="1" selected="0">
            <x v="23"/>
          </reference>
        </references>
      </pivotArea>
    </format>
    <format dxfId="2417">
      <pivotArea field="0" dataOnly="0" labelOnly="1" grandRow="1" outline="0" axis="axisRow" fieldPosition="0">
        <references count="1">
          <reference field="4294967294" count="1" selected="0">
            <x v="24"/>
          </reference>
        </references>
      </pivotArea>
    </format>
    <format dxfId="2418">
      <pivotArea field="0" dataOnly="0" labelOnly="1" grandRow="1" outline="0" axis="axisRow" fieldPosition="0">
        <references count="1">
          <reference field="4294967294" count="1" selected="0">
            <x v="25"/>
          </reference>
        </references>
      </pivotArea>
    </format>
    <format dxfId="2419">
      <pivotArea field="0" dataOnly="0" labelOnly="1" grandRow="1" outline="0" axis="axisRow" fieldPosition="0">
        <references count="1">
          <reference field="4294967294" count="1" selected="0">
            <x v="26"/>
          </reference>
        </references>
      </pivotArea>
    </format>
    <format dxfId="2420">
      <pivotArea field="0" dataOnly="0" labelOnly="1" grandRow="1" outline="0" axis="axisRow" fieldPosition="0">
        <references count="1">
          <reference field="4294967294" count="1" selected="0">
            <x v="27"/>
          </reference>
        </references>
      </pivotArea>
    </format>
    <format dxfId="2421">
      <pivotArea field="0" dataOnly="0" labelOnly="1" grandRow="1" outline="0" axis="axisRow" fieldPosition="0">
        <references count="1">
          <reference field="4294967294" count="1" selected="0">
            <x v="28"/>
          </reference>
        </references>
      </pivotArea>
    </format>
    <format dxfId="2422">
      <pivotArea field="0" dataOnly="0" labelOnly="1" grandRow="1" outline="0" axis="axisRow" fieldPosition="0">
        <references count="1">
          <reference field="4294967294" count="1" selected="0">
            <x v="29"/>
          </reference>
        </references>
      </pivotArea>
    </format>
    <format dxfId="2423">
      <pivotArea field="0" dataOnly="0" labelOnly="1" grandRow="1" outline="0" axis="axisRow" fieldPosition="0">
        <references count="1">
          <reference field="4294967294" count="1" selected="0">
            <x v="30"/>
          </reference>
        </references>
      </pivotArea>
    </format>
    <format dxfId="2424">
      <pivotArea field="0" dataOnly="0" labelOnly="1" grandRow="1" outline="0" axis="axisRow" fieldPosition="0">
        <references count="1">
          <reference field="4294967294" count="1" selected="0">
            <x v="31"/>
          </reference>
        </references>
      </pivotArea>
    </format>
    <format dxfId="2425">
      <pivotArea field="0" dataOnly="0" labelOnly="1" grandRow="1" outline="0" axis="axisRow" fieldPosition="0">
        <references count="1">
          <reference field="4294967294" count="1" selected="0">
            <x v="32"/>
          </reference>
        </references>
      </pivotArea>
    </format>
    <format dxfId="2426">
      <pivotArea field="0" dataOnly="0" labelOnly="1" grandRow="1" outline="0" axis="axisRow" fieldPosition="0">
        <references count="1">
          <reference field="4294967294" count="1" selected="0">
            <x v="33"/>
          </reference>
        </references>
      </pivotArea>
    </format>
    <format dxfId="2427">
      <pivotArea field="0" dataOnly="0" labelOnly="1" grandRow="1" outline="0" axis="axisRow" fieldPosition="0">
        <references count="1">
          <reference field="4294967294" count="1" selected="0">
            <x v="34"/>
          </reference>
        </references>
      </pivotArea>
    </format>
    <format dxfId="2428">
      <pivotArea field="0" dataOnly="0" labelOnly="1" grandRow="1" outline="0" axis="axisRow" fieldPosition="0">
        <references count="1">
          <reference field="4294967294" count="1" selected="0">
            <x v="35"/>
          </reference>
        </references>
      </pivotArea>
    </format>
    <format dxfId="2429">
      <pivotArea field="0" dataOnly="0" labelOnly="1" grandRow="1" outline="0" axis="axisRow" fieldPosition="0">
        <references count="1">
          <reference field="4294967294" count="1" selected="0">
            <x v="0"/>
          </reference>
        </references>
      </pivotArea>
    </format>
    <format dxfId="2430">
      <pivotArea field="0" dataOnly="0" labelOnly="1" grandRow="1" outline="0" axis="axisRow" fieldPosition="0">
        <references count="1">
          <reference field="4294967294" count="1" selected="0">
            <x v="1"/>
          </reference>
        </references>
      </pivotArea>
    </format>
    <format dxfId="2431">
      <pivotArea field="0" dataOnly="0" labelOnly="1" grandRow="1" outline="0" axis="axisRow" fieldPosition="0">
        <references count="1">
          <reference field="4294967294" count="1" selected="0">
            <x v="2"/>
          </reference>
        </references>
      </pivotArea>
    </format>
    <format dxfId="2432">
      <pivotArea field="0" dataOnly="0" labelOnly="1" grandRow="1" outline="0" axis="axisRow" fieldPosition="0">
        <references count="1">
          <reference field="4294967294" count="1" selected="0">
            <x v="3"/>
          </reference>
        </references>
      </pivotArea>
    </format>
    <format dxfId="2433">
      <pivotArea field="0" dataOnly="0" labelOnly="1" grandRow="1" outline="0" axis="axisRow" fieldPosition="0">
        <references count="1">
          <reference field="4294967294" count="1" selected="0">
            <x v="4"/>
          </reference>
        </references>
      </pivotArea>
    </format>
    <format dxfId="2434">
      <pivotArea field="0" dataOnly="0" labelOnly="1" grandRow="1" outline="0" axis="axisRow" fieldPosition="0">
        <references count="1">
          <reference field="4294967294" count="1" selected="0">
            <x v="5"/>
          </reference>
        </references>
      </pivotArea>
    </format>
    <format dxfId="2435">
      <pivotArea field="0" dataOnly="0" labelOnly="1" grandRow="1" outline="0" axis="axisRow" fieldPosition="0">
        <references count="1">
          <reference field="4294967294" count="1" selected="0">
            <x v="6"/>
          </reference>
        </references>
      </pivotArea>
    </format>
    <format dxfId="2436">
      <pivotArea field="0" dataOnly="0" labelOnly="1" grandRow="1" outline="0" axis="axisRow" fieldPosition="0">
        <references count="1">
          <reference field="4294967294" count="1" selected="0">
            <x v="7"/>
          </reference>
        </references>
      </pivotArea>
    </format>
    <format dxfId="2437">
      <pivotArea field="0" dataOnly="0" labelOnly="1" grandRow="1" outline="0" axis="axisRow" fieldPosition="0">
        <references count="1">
          <reference field="4294967294" count="1" selected="0">
            <x v="8"/>
          </reference>
        </references>
      </pivotArea>
    </format>
    <format dxfId="2438">
      <pivotArea field="0" dataOnly="0" labelOnly="1" grandRow="1" outline="0" axis="axisRow" fieldPosition="0">
        <references count="1">
          <reference field="4294967294" count="1" selected="0">
            <x v="9"/>
          </reference>
        </references>
      </pivotArea>
    </format>
    <format dxfId="2439">
      <pivotArea field="0" dataOnly="0" labelOnly="1" grandRow="1" outline="0" axis="axisRow" fieldPosition="0">
        <references count="1">
          <reference field="4294967294" count="1" selected="0">
            <x v="10"/>
          </reference>
        </references>
      </pivotArea>
    </format>
    <format dxfId="2440">
      <pivotArea field="0" dataOnly="0" labelOnly="1" grandRow="1" outline="0" axis="axisRow" fieldPosition="0">
        <references count="1">
          <reference field="4294967294" count="1" selected="0">
            <x v="11"/>
          </reference>
        </references>
      </pivotArea>
    </format>
    <format dxfId="2441">
      <pivotArea field="0" dataOnly="0" labelOnly="1" grandRow="1" outline="0" axis="axisRow" fieldPosition="0">
        <references count="1">
          <reference field="4294967294" count="1" selected="0">
            <x v="12"/>
          </reference>
        </references>
      </pivotArea>
    </format>
    <format dxfId="2442">
      <pivotArea field="0" dataOnly="0" labelOnly="1" grandRow="1" outline="0" axis="axisRow" fieldPosition="0">
        <references count="1">
          <reference field="4294967294" count="1" selected="0">
            <x v="13"/>
          </reference>
        </references>
      </pivotArea>
    </format>
    <format dxfId="2443">
      <pivotArea field="0" dataOnly="0" labelOnly="1" grandRow="1" outline="0" axis="axisRow" fieldPosition="0">
        <references count="1">
          <reference field="4294967294" count="1" selected="0">
            <x v="14"/>
          </reference>
        </references>
      </pivotArea>
    </format>
    <format dxfId="2444">
      <pivotArea field="0" dataOnly="0" labelOnly="1" grandRow="1" outline="0" axis="axisRow" fieldPosition="0">
        <references count="1">
          <reference field="4294967294" count="1" selected="0">
            <x v="15"/>
          </reference>
        </references>
      </pivotArea>
    </format>
    <format dxfId="2445">
      <pivotArea field="0" dataOnly="0" labelOnly="1" grandRow="1" outline="0" axis="axisRow" fieldPosition="0">
        <references count="1">
          <reference field="4294967294" count="1" selected="0">
            <x v="16"/>
          </reference>
        </references>
      </pivotArea>
    </format>
    <format dxfId="2446">
      <pivotArea field="0" dataOnly="0" labelOnly="1" grandRow="1" outline="0" axis="axisRow" fieldPosition="0">
        <references count="1">
          <reference field="4294967294" count="1" selected="0">
            <x v="17"/>
          </reference>
        </references>
      </pivotArea>
    </format>
    <format dxfId="2447">
      <pivotArea field="0" dataOnly="0" labelOnly="1" grandRow="1" outline="0" axis="axisRow" fieldPosition="0">
        <references count="1">
          <reference field="4294967294" count="1" selected="0">
            <x v="18"/>
          </reference>
        </references>
      </pivotArea>
    </format>
    <format dxfId="2448">
      <pivotArea field="0" dataOnly="0" labelOnly="1" grandRow="1" outline="0" axis="axisRow" fieldPosition="0">
        <references count="1">
          <reference field="4294967294" count="1" selected="0">
            <x v="19"/>
          </reference>
        </references>
      </pivotArea>
    </format>
    <format dxfId="2449">
      <pivotArea field="0" dataOnly="0" labelOnly="1" grandRow="1" outline="0" axis="axisRow" fieldPosition="0">
        <references count="1">
          <reference field="4294967294" count="1" selected="0">
            <x v="20"/>
          </reference>
        </references>
      </pivotArea>
    </format>
    <format dxfId="2450">
      <pivotArea field="0" dataOnly="0" labelOnly="1" grandRow="1" outline="0" axis="axisRow" fieldPosition="0">
        <references count="1">
          <reference field="4294967294" count="1" selected="0">
            <x v="21"/>
          </reference>
        </references>
      </pivotArea>
    </format>
    <format dxfId="2451">
      <pivotArea field="0" dataOnly="0" labelOnly="1" grandRow="1" outline="0" axis="axisRow" fieldPosition="0">
        <references count="1">
          <reference field="4294967294" count="1" selected="0">
            <x v="22"/>
          </reference>
        </references>
      </pivotArea>
    </format>
    <format dxfId="2452">
      <pivotArea field="0" dataOnly="0" labelOnly="1" grandRow="1" outline="0" axis="axisRow" fieldPosition="0">
        <references count="1">
          <reference field="4294967294" count="1" selected="0">
            <x v="23"/>
          </reference>
        </references>
      </pivotArea>
    </format>
    <format dxfId="2453">
      <pivotArea field="0" dataOnly="0" labelOnly="1" grandRow="1" outline="0" axis="axisRow" fieldPosition="0">
        <references count="1">
          <reference field="4294967294" count="1" selected="0">
            <x v="24"/>
          </reference>
        </references>
      </pivotArea>
    </format>
    <format dxfId="2454">
      <pivotArea field="0" dataOnly="0" labelOnly="1" grandRow="1" outline="0" axis="axisRow" fieldPosition="0">
        <references count="1">
          <reference field="4294967294" count="1" selected="0">
            <x v="25"/>
          </reference>
        </references>
      </pivotArea>
    </format>
    <format dxfId="2455">
      <pivotArea field="0" dataOnly="0" labelOnly="1" grandRow="1" outline="0" axis="axisRow" fieldPosition="0">
        <references count="1">
          <reference field="4294967294" count="1" selected="0">
            <x v="26"/>
          </reference>
        </references>
      </pivotArea>
    </format>
    <format dxfId="2456">
      <pivotArea field="0" dataOnly="0" labelOnly="1" grandRow="1" outline="0" axis="axisRow" fieldPosition="0">
        <references count="1">
          <reference field="4294967294" count="1" selected="0">
            <x v="27"/>
          </reference>
        </references>
      </pivotArea>
    </format>
    <format dxfId="2457">
      <pivotArea field="0" dataOnly="0" labelOnly="1" grandRow="1" outline="0" axis="axisRow" fieldPosition="0">
        <references count="1">
          <reference field="4294967294" count="1" selected="0">
            <x v="28"/>
          </reference>
        </references>
      </pivotArea>
    </format>
    <format dxfId="2458">
      <pivotArea field="0" dataOnly="0" labelOnly="1" grandRow="1" outline="0" axis="axisRow" fieldPosition="0">
        <references count="1">
          <reference field="4294967294" count="1" selected="0">
            <x v="29"/>
          </reference>
        </references>
      </pivotArea>
    </format>
    <format dxfId="2459">
      <pivotArea field="0" dataOnly="0" labelOnly="1" grandRow="1" outline="0" axis="axisRow" fieldPosition="0">
        <references count="1">
          <reference field="4294967294" count="1" selected="0">
            <x v="30"/>
          </reference>
        </references>
      </pivotArea>
    </format>
    <format dxfId="2460">
      <pivotArea field="0" dataOnly="0" labelOnly="1" grandRow="1" outline="0" axis="axisRow" fieldPosition="0">
        <references count="1">
          <reference field="4294967294" count="1" selected="0">
            <x v="31"/>
          </reference>
        </references>
      </pivotArea>
    </format>
    <format dxfId="2461">
      <pivotArea field="0" dataOnly="0" labelOnly="1" grandRow="1" outline="0" axis="axisRow" fieldPosition="0">
        <references count="1">
          <reference field="4294967294" count="1" selected="0">
            <x v="32"/>
          </reference>
        </references>
      </pivotArea>
    </format>
    <format dxfId="2462">
      <pivotArea field="0" dataOnly="0" labelOnly="1" grandRow="1" outline="0" axis="axisRow" fieldPosition="0">
        <references count="1">
          <reference field="4294967294" count="1" selected="0">
            <x v="33"/>
          </reference>
        </references>
      </pivotArea>
    </format>
    <format dxfId="2463">
      <pivotArea field="0" dataOnly="0" labelOnly="1" grandRow="1" outline="0" axis="axisRow" fieldPosition="0">
        <references count="1">
          <reference field="4294967294" count="1" selected="0">
            <x v="34"/>
          </reference>
        </references>
      </pivotArea>
    </format>
    <format dxfId="2464">
      <pivotArea field="0" dataOnly="0" labelOnly="1" grandRow="1" outline="0" axis="axisRow" fieldPosition="0">
        <references count="1">
          <reference field="4294967294" count="1" selected="0">
            <x v="35"/>
          </reference>
        </references>
      </pivotArea>
    </format>
    <format dxfId="2465">
      <pivotArea field="0" dataOnly="0" labelOnly="1" grandRow="1" outline="0" axis="axisRow" fieldPosition="0">
        <references count="1">
          <reference field="4294967294" count="1" selected="0">
            <x v="0"/>
          </reference>
        </references>
      </pivotArea>
    </format>
    <format dxfId="2466">
      <pivotArea field="0" dataOnly="0" labelOnly="1" grandRow="1" outline="0" axis="axisRow" fieldPosition="0">
        <references count="1">
          <reference field="4294967294" count="1" selected="0">
            <x v="1"/>
          </reference>
        </references>
      </pivotArea>
    </format>
    <format dxfId="2467">
      <pivotArea field="0" dataOnly="0" labelOnly="1" grandRow="1" outline="0" axis="axisRow" fieldPosition="0">
        <references count="1">
          <reference field="4294967294" count="1" selected="0">
            <x v="2"/>
          </reference>
        </references>
      </pivotArea>
    </format>
    <format dxfId="2468">
      <pivotArea field="0" dataOnly="0" labelOnly="1" grandRow="1" outline="0" axis="axisRow" fieldPosition="0">
        <references count="1">
          <reference field="4294967294" count="1" selected="0">
            <x v="3"/>
          </reference>
        </references>
      </pivotArea>
    </format>
    <format dxfId="2469">
      <pivotArea field="0" dataOnly="0" labelOnly="1" grandRow="1" outline="0" axis="axisRow" fieldPosition="0">
        <references count="1">
          <reference field="4294967294" count="1" selected="0">
            <x v="4"/>
          </reference>
        </references>
      </pivotArea>
    </format>
    <format dxfId="2470">
      <pivotArea field="0" dataOnly="0" labelOnly="1" grandRow="1" outline="0" axis="axisRow" fieldPosition="0">
        <references count="1">
          <reference field="4294967294" count="1" selected="0">
            <x v="5"/>
          </reference>
        </references>
      </pivotArea>
    </format>
    <format dxfId="2471">
      <pivotArea field="0" dataOnly="0" labelOnly="1" grandRow="1" outline="0" axis="axisRow" fieldPosition="0">
        <references count="1">
          <reference field="4294967294" count="1" selected="0">
            <x v="6"/>
          </reference>
        </references>
      </pivotArea>
    </format>
    <format dxfId="2472">
      <pivotArea field="0" dataOnly="0" labelOnly="1" grandRow="1" outline="0" axis="axisRow" fieldPosition="0">
        <references count="1">
          <reference field="4294967294" count="1" selected="0">
            <x v="7"/>
          </reference>
        </references>
      </pivotArea>
    </format>
    <format dxfId="2473">
      <pivotArea field="0" dataOnly="0" labelOnly="1" grandRow="1" outline="0" axis="axisRow" fieldPosition="0">
        <references count="1">
          <reference field="4294967294" count="1" selected="0">
            <x v="8"/>
          </reference>
        </references>
      </pivotArea>
    </format>
    <format dxfId="2474">
      <pivotArea field="0" dataOnly="0" labelOnly="1" grandRow="1" outline="0" axis="axisRow" fieldPosition="0">
        <references count="1">
          <reference field="4294967294" count="1" selected="0">
            <x v="9"/>
          </reference>
        </references>
      </pivotArea>
    </format>
    <format dxfId="2475">
      <pivotArea field="0" dataOnly="0" labelOnly="1" grandRow="1" outline="0" axis="axisRow" fieldPosition="0">
        <references count="1">
          <reference field="4294967294" count="1" selected="0">
            <x v="10"/>
          </reference>
        </references>
      </pivotArea>
    </format>
    <format dxfId="2476">
      <pivotArea field="0" dataOnly="0" labelOnly="1" grandRow="1" outline="0" axis="axisRow" fieldPosition="0">
        <references count="1">
          <reference field="4294967294" count="1" selected="0">
            <x v="11"/>
          </reference>
        </references>
      </pivotArea>
    </format>
    <format dxfId="2477">
      <pivotArea field="0" dataOnly="0" labelOnly="1" grandRow="1" outline="0" axis="axisRow" fieldPosition="0">
        <references count="1">
          <reference field="4294967294" count="1" selected="0">
            <x v="12"/>
          </reference>
        </references>
      </pivotArea>
    </format>
    <format dxfId="2478">
      <pivotArea field="0" dataOnly="0" labelOnly="1" grandRow="1" outline="0" axis="axisRow" fieldPosition="0">
        <references count="1">
          <reference field="4294967294" count="1" selected="0">
            <x v="13"/>
          </reference>
        </references>
      </pivotArea>
    </format>
    <format dxfId="2479">
      <pivotArea field="0" dataOnly="0" labelOnly="1" grandRow="1" outline="0" axis="axisRow" fieldPosition="0">
        <references count="1">
          <reference field="4294967294" count="1" selected="0">
            <x v="14"/>
          </reference>
        </references>
      </pivotArea>
    </format>
    <format dxfId="2480">
      <pivotArea field="0" dataOnly="0" labelOnly="1" grandRow="1" outline="0" axis="axisRow" fieldPosition="0">
        <references count="1">
          <reference field="4294967294" count="1" selected="0">
            <x v="15"/>
          </reference>
        </references>
      </pivotArea>
    </format>
    <format dxfId="2481">
      <pivotArea field="0" dataOnly="0" labelOnly="1" grandRow="1" outline="0" axis="axisRow" fieldPosition="0">
        <references count="1">
          <reference field="4294967294" count="1" selected="0">
            <x v="16"/>
          </reference>
        </references>
      </pivotArea>
    </format>
    <format dxfId="2482">
      <pivotArea field="0" dataOnly="0" labelOnly="1" grandRow="1" outline="0" axis="axisRow" fieldPosition="0">
        <references count="1">
          <reference field="4294967294" count="1" selected="0">
            <x v="17"/>
          </reference>
        </references>
      </pivotArea>
    </format>
    <format dxfId="2483">
      <pivotArea field="0" dataOnly="0" labelOnly="1" grandRow="1" outline="0" axis="axisRow" fieldPosition="0">
        <references count="1">
          <reference field="4294967294" count="1" selected="0">
            <x v="18"/>
          </reference>
        </references>
      </pivotArea>
    </format>
    <format dxfId="2484">
      <pivotArea field="0" dataOnly="0" labelOnly="1" grandRow="1" outline="0" axis="axisRow" fieldPosition="0">
        <references count="1">
          <reference field="4294967294" count="1" selected="0">
            <x v="19"/>
          </reference>
        </references>
      </pivotArea>
    </format>
    <format dxfId="2485">
      <pivotArea field="0" dataOnly="0" labelOnly="1" grandRow="1" outline="0" axis="axisRow" fieldPosition="0">
        <references count="1">
          <reference field="4294967294" count="1" selected="0">
            <x v="20"/>
          </reference>
        </references>
      </pivotArea>
    </format>
    <format dxfId="2486">
      <pivotArea field="0" dataOnly="0" labelOnly="1" grandRow="1" outline="0" axis="axisRow" fieldPosition="0">
        <references count="1">
          <reference field="4294967294" count="1" selected="0">
            <x v="21"/>
          </reference>
        </references>
      </pivotArea>
    </format>
    <format dxfId="2487">
      <pivotArea field="0" dataOnly="0" labelOnly="1" grandRow="1" outline="0" axis="axisRow" fieldPosition="0">
        <references count="1">
          <reference field="4294967294" count="1" selected="0">
            <x v="22"/>
          </reference>
        </references>
      </pivotArea>
    </format>
    <format dxfId="2488">
      <pivotArea field="0" dataOnly="0" labelOnly="1" grandRow="1" outline="0" axis="axisRow" fieldPosition="0">
        <references count="1">
          <reference field="4294967294" count="1" selected="0">
            <x v="23"/>
          </reference>
        </references>
      </pivotArea>
    </format>
    <format dxfId="2489">
      <pivotArea field="0" dataOnly="0" labelOnly="1" grandRow="1" outline="0" axis="axisRow" fieldPosition="0">
        <references count="1">
          <reference field="4294967294" count="1" selected="0">
            <x v="24"/>
          </reference>
        </references>
      </pivotArea>
    </format>
    <format dxfId="2490">
      <pivotArea field="0" dataOnly="0" labelOnly="1" grandRow="1" outline="0" axis="axisRow" fieldPosition="0">
        <references count="1">
          <reference field="4294967294" count="1" selected="0">
            <x v="25"/>
          </reference>
        </references>
      </pivotArea>
    </format>
    <format dxfId="2491">
      <pivotArea field="0" dataOnly="0" labelOnly="1" grandRow="1" outline="0" axis="axisRow" fieldPosition="0">
        <references count="1">
          <reference field="4294967294" count="1" selected="0">
            <x v="26"/>
          </reference>
        </references>
      </pivotArea>
    </format>
    <format dxfId="2492">
      <pivotArea field="0" dataOnly="0" labelOnly="1" grandRow="1" outline="0" axis="axisRow" fieldPosition="0">
        <references count="1">
          <reference field="4294967294" count="1" selected="0">
            <x v="27"/>
          </reference>
        </references>
      </pivotArea>
    </format>
    <format dxfId="2493">
      <pivotArea field="0" dataOnly="0" labelOnly="1" grandRow="1" outline="0" axis="axisRow" fieldPosition="0">
        <references count="1">
          <reference field="4294967294" count="1" selected="0">
            <x v="28"/>
          </reference>
        </references>
      </pivotArea>
    </format>
    <format dxfId="2494">
      <pivotArea field="0" dataOnly="0" labelOnly="1" grandRow="1" outline="0" axis="axisRow" fieldPosition="0">
        <references count="1">
          <reference field="4294967294" count="1" selected="0">
            <x v="29"/>
          </reference>
        </references>
      </pivotArea>
    </format>
    <format dxfId="2495">
      <pivotArea field="0" dataOnly="0" labelOnly="1" grandRow="1" outline="0" axis="axisRow" fieldPosition="0">
        <references count="1">
          <reference field="4294967294" count="1" selected="0">
            <x v="30"/>
          </reference>
        </references>
      </pivotArea>
    </format>
    <format dxfId="2496">
      <pivotArea field="0" dataOnly="0" labelOnly="1" grandRow="1" outline="0" axis="axisRow" fieldPosition="0">
        <references count="1">
          <reference field="4294967294" count="1" selected="0">
            <x v="31"/>
          </reference>
        </references>
      </pivotArea>
    </format>
    <format dxfId="2497">
      <pivotArea field="0" dataOnly="0" labelOnly="1" grandRow="1" outline="0" axis="axisRow" fieldPosition="0">
        <references count="1">
          <reference field="4294967294" count="1" selected="0">
            <x v="32"/>
          </reference>
        </references>
      </pivotArea>
    </format>
    <format dxfId="2498">
      <pivotArea field="0" dataOnly="0" labelOnly="1" grandRow="1" outline="0" axis="axisRow" fieldPosition="0">
        <references count="1">
          <reference field="4294967294" count="1" selected="0">
            <x v="33"/>
          </reference>
        </references>
      </pivotArea>
    </format>
    <format dxfId="2499">
      <pivotArea field="0" dataOnly="0" labelOnly="1" grandRow="1" outline="0" axis="axisRow" fieldPosition="0">
        <references count="1">
          <reference field="4294967294" count="1" selected="0">
            <x v="34"/>
          </reference>
        </references>
      </pivotArea>
    </format>
    <format dxfId="2500">
      <pivotArea field="0" dataOnly="0" labelOnly="1" grandRow="1" outline="0" axis="axisRow" fieldPosition="0">
        <references count="1">
          <reference field="4294967294" count="1" selected="0">
            <x v="35"/>
          </reference>
        </references>
      </pivotArea>
    </format>
    <format dxfId="2501">
      <pivotArea field="0" dataOnly="0" labelOnly="1" grandRow="1" outline="0" axis="axisRow" fieldPosition="0">
        <references count="1">
          <reference field="4294967294" count="1" selected="0">
            <x v="0"/>
          </reference>
        </references>
      </pivotArea>
    </format>
    <format dxfId="2502">
      <pivotArea field="0" dataOnly="0" labelOnly="1" grandRow="1" outline="0" axis="axisRow" fieldPosition="0">
        <references count="1">
          <reference field="4294967294" count="1" selected="0">
            <x v="1"/>
          </reference>
        </references>
      </pivotArea>
    </format>
    <format dxfId="2503">
      <pivotArea field="0" dataOnly="0" labelOnly="1" grandRow="1" outline="0" axis="axisRow" fieldPosition="0">
        <references count="1">
          <reference field="4294967294" count="1" selected="0">
            <x v="2"/>
          </reference>
        </references>
      </pivotArea>
    </format>
    <format dxfId="2504">
      <pivotArea field="0" dataOnly="0" labelOnly="1" grandRow="1" outline="0" axis="axisRow" fieldPosition="0">
        <references count="1">
          <reference field="4294967294" count="1" selected="0">
            <x v="3"/>
          </reference>
        </references>
      </pivotArea>
    </format>
    <format dxfId="2505">
      <pivotArea field="0" dataOnly="0" labelOnly="1" grandRow="1" outline="0" axis="axisRow" fieldPosition="0">
        <references count="1">
          <reference field="4294967294" count="1" selected="0">
            <x v="4"/>
          </reference>
        </references>
      </pivotArea>
    </format>
    <format dxfId="2506">
      <pivotArea field="0" dataOnly="0" labelOnly="1" grandRow="1" outline="0" axis="axisRow" fieldPosition="0">
        <references count="1">
          <reference field="4294967294" count="1" selected="0">
            <x v="5"/>
          </reference>
        </references>
      </pivotArea>
    </format>
    <format dxfId="2507">
      <pivotArea field="0" dataOnly="0" labelOnly="1" grandRow="1" outline="0" axis="axisRow" fieldPosition="0">
        <references count="1">
          <reference field="4294967294" count="1" selected="0">
            <x v="6"/>
          </reference>
        </references>
      </pivotArea>
    </format>
    <format dxfId="2508">
      <pivotArea field="0" dataOnly="0" labelOnly="1" grandRow="1" outline="0" axis="axisRow" fieldPosition="0">
        <references count="1">
          <reference field="4294967294" count="1" selected="0">
            <x v="7"/>
          </reference>
        </references>
      </pivotArea>
    </format>
    <format dxfId="2509">
      <pivotArea field="0" dataOnly="0" labelOnly="1" grandRow="1" outline="0" axis="axisRow" fieldPosition="0">
        <references count="1">
          <reference field="4294967294" count="1" selected="0">
            <x v="8"/>
          </reference>
        </references>
      </pivotArea>
    </format>
    <format dxfId="2510">
      <pivotArea field="0" dataOnly="0" labelOnly="1" grandRow="1" outline="0" axis="axisRow" fieldPosition="0">
        <references count="1">
          <reference field="4294967294" count="1" selected="0">
            <x v="9"/>
          </reference>
        </references>
      </pivotArea>
    </format>
    <format dxfId="2511">
      <pivotArea field="0" dataOnly="0" labelOnly="1" grandRow="1" outline="0" axis="axisRow" fieldPosition="0">
        <references count="1">
          <reference field="4294967294" count="1" selected="0">
            <x v="10"/>
          </reference>
        </references>
      </pivotArea>
    </format>
    <format dxfId="2512">
      <pivotArea field="0" dataOnly="0" labelOnly="1" grandRow="1" outline="0" axis="axisRow" fieldPosition="0">
        <references count="1">
          <reference field="4294967294" count="1" selected="0">
            <x v="11"/>
          </reference>
        </references>
      </pivotArea>
    </format>
    <format dxfId="2513">
      <pivotArea field="0" dataOnly="0" labelOnly="1" grandRow="1" outline="0" axis="axisRow" fieldPosition="0">
        <references count="1">
          <reference field="4294967294" count="1" selected="0">
            <x v="12"/>
          </reference>
        </references>
      </pivotArea>
    </format>
    <format dxfId="2514">
      <pivotArea field="0" dataOnly="0" labelOnly="1" grandRow="1" outline="0" axis="axisRow" fieldPosition="0">
        <references count="1">
          <reference field="4294967294" count="1" selected="0">
            <x v="13"/>
          </reference>
        </references>
      </pivotArea>
    </format>
    <format dxfId="2515">
      <pivotArea field="0" dataOnly="0" labelOnly="1" grandRow="1" outline="0" axis="axisRow" fieldPosition="0">
        <references count="1">
          <reference field="4294967294" count="1" selected="0">
            <x v="14"/>
          </reference>
        </references>
      </pivotArea>
    </format>
    <format dxfId="2516">
      <pivotArea field="0" dataOnly="0" labelOnly="1" grandRow="1" outline="0" axis="axisRow" fieldPosition="0">
        <references count="1">
          <reference field="4294967294" count="1" selected="0">
            <x v="15"/>
          </reference>
        </references>
      </pivotArea>
    </format>
    <format dxfId="2517">
      <pivotArea field="0" dataOnly="0" labelOnly="1" grandRow="1" outline="0" axis="axisRow" fieldPosition="0">
        <references count="1">
          <reference field="4294967294" count="1" selected="0">
            <x v="16"/>
          </reference>
        </references>
      </pivotArea>
    </format>
    <format dxfId="2518">
      <pivotArea field="0" dataOnly="0" labelOnly="1" grandRow="1" outline="0" axis="axisRow" fieldPosition="0">
        <references count="1">
          <reference field="4294967294" count="1" selected="0">
            <x v="17"/>
          </reference>
        </references>
      </pivotArea>
    </format>
    <format dxfId="2519">
      <pivotArea field="0" dataOnly="0" labelOnly="1" grandRow="1" outline="0" axis="axisRow" fieldPosition="0">
        <references count="1">
          <reference field="4294967294" count="1" selected="0">
            <x v="18"/>
          </reference>
        </references>
      </pivotArea>
    </format>
    <format dxfId="2520">
      <pivotArea field="0" dataOnly="0" labelOnly="1" grandRow="1" outline="0" axis="axisRow" fieldPosition="0">
        <references count="1">
          <reference field="4294967294" count="1" selected="0">
            <x v="19"/>
          </reference>
        </references>
      </pivotArea>
    </format>
    <format dxfId="2521">
      <pivotArea field="0" dataOnly="0" labelOnly="1" grandRow="1" outline="0" axis="axisRow" fieldPosition="0">
        <references count="1">
          <reference field="4294967294" count="1" selected="0">
            <x v="20"/>
          </reference>
        </references>
      </pivotArea>
    </format>
    <format dxfId="2522">
      <pivotArea field="0" dataOnly="0" labelOnly="1" grandRow="1" outline="0" axis="axisRow" fieldPosition="0">
        <references count="1">
          <reference field="4294967294" count="1" selected="0">
            <x v="21"/>
          </reference>
        </references>
      </pivotArea>
    </format>
    <format dxfId="2523">
      <pivotArea field="0" dataOnly="0" labelOnly="1" grandRow="1" outline="0" axis="axisRow" fieldPosition="0">
        <references count="1">
          <reference field="4294967294" count="1" selected="0">
            <x v="22"/>
          </reference>
        </references>
      </pivotArea>
    </format>
    <format dxfId="2524">
      <pivotArea field="0" dataOnly="0" labelOnly="1" grandRow="1" outline="0" axis="axisRow" fieldPosition="0">
        <references count="1">
          <reference field="4294967294" count="1" selected="0">
            <x v="23"/>
          </reference>
        </references>
      </pivotArea>
    </format>
    <format dxfId="2525">
      <pivotArea field="0" dataOnly="0" labelOnly="1" grandRow="1" outline="0" axis="axisRow" fieldPosition="0">
        <references count="1">
          <reference field="4294967294" count="1" selected="0">
            <x v="24"/>
          </reference>
        </references>
      </pivotArea>
    </format>
    <format dxfId="2526">
      <pivotArea field="0" dataOnly="0" labelOnly="1" grandRow="1" outline="0" axis="axisRow" fieldPosition="0">
        <references count="1">
          <reference field="4294967294" count="1" selected="0">
            <x v="25"/>
          </reference>
        </references>
      </pivotArea>
    </format>
    <format dxfId="2527">
      <pivotArea field="0" dataOnly="0" labelOnly="1" grandRow="1" outline="0" axis="axisRow" fieldPosition="0">
        <references count="1">
          <reference field="4294967294" count="1" selected="0">
            <x v="26"/>
          </reference>
        </references>
      </pivotArea>
    </format>
    <format dxfId="2528">
      <pivotArea field="0" dataOnly="0" labelOnly="1" grandRow="1" outline="0" axis="axisRow" fieldPosition="0">
        <references count="1">
          <reference field="4294967294" count="1" selected="0">
            <x v="27"/>
          </reference>
        </references>
      </pivotArea>
    </format>
    <format dxfId="2529">
      <pivotArea field="0" dataOnly="0" labelOnly="1" grandRow="1" outline="0" axis="axisRow" fieldPosition="0">
        <references count="1">
          <reference field="4294967294" count="1" selected="0">
            <x v="28"/>
          </reference>
        </references>
      </pivotArea>
    </format>
    <format dxfId="2530">
      <pivotArea field="0" dataOnly="0" labelOnly="1" grandRow="1" outline="0" axis="axisRow" fieldPosition="0">
        <references count="1">
          <reference field="4294967294" count="1" selected="0">
            <x v="29"/>
          </reference>
        </references>
      </pivotArea>
    </format>
    <format dxfId="2531">
      <pivotArea field="0" dataOnly="0" labelOnly="1" grandRow="1" outline="0" axis="axisRow" fieldPosition="0">
        <references count="1">
          <reference field="4294967294" count="1" selected="0">
            <x v="30"/>
          </reference>
        </references>
      </pivotArea>
    </format>
    <format dxfId="2532">
      <pivotArea field="0" dataOnly="0" labelOnly="1" grandRow="1" outline="0" axis="axisRow" fieldPosition="0">
        <references count="1">
          <reference field="4294967294" count="1" selected="0">
            <x v="31"/>
          </reference>
        </references>
      </pivotArea>
    </format>
    <format dxfId="2533">
      <pivotArea field="0" dataOnly="0" labelOnly="1" grandRow="1" outline="0" axis="axisRow" fieldPosition="0">
        <references count="1">
          <reference field="4294967294" count="1" selected="0">
            <x v="32"/>
          </reference>
        </references>
      </pivotArea>
    </format>
    <format dxfId="2534">
      <pivotArea field="0" dataOnly="0" labelOnly="1" grandRow="1" outline="0" axis="axisRow" fieldPosition="0">
        <references count="1">
          <reference field="4294967294" count="1" selected="0">
            <x v="33"/>
          </reference>
        </references>
      </pivotArea>
    </format>
    <format dxfId="2535">
      <pivotArea field="0" dataOnly="0" labelOnly="1" grandRow="1" outline="0" axis="axisRow" fieldPosition="0">
        <references count="1">
          <reference field="4294967294" count="1" selected="0">
            <x v="34"/>
          </reference>
        </references>
      </pivotArea>
    </format>
    <format dxfId="2536">
      <pivotArea field="0" dataOnly="0" labelOnly="1" grandRow="1" outline="0" axis="axisRow" fieldPosition="0">
        <references count="1">
          <reference field="4294967294" count="1" selected="0">
            <x v="35"/>
          </reference>
        </references>
      </pivotArea>
    </format>
    <format dxfId="2537">
      <pivotArea field="0" dataOnly="0" labelOnly="1" grandRow="1" outline="0" axis="axisRow" fieldPosition="0">
        <references count="1">
          <reference field="4294967294" count="1" selected="0">
            <x v="0"/>
          </reference>
        </references>
      </pivotArea>
    </format>
    <format dxfId="2538">
      <pivotArea field="0" dataOnly="0" labelOnly="1" grandRow="1" outline="0" axis="axisRow" fieldPosition="0">
        <references count="1">
          <reference field="4294967294" count="1" selected="0">
            <x v="1"/>
          </reference>
        </references>
      </pivotArea>
    </format>
    <format dxfId="2539">
      <pivotArea field="0" dataOnly="0" labelOnly="1" grandRow="1" outline="0" axis="axisRow" fieldPosition="0">
        <references count="1">
          <reference field="4294967294" count="1" selected="0">
            <x v="2"/>
          </reference>
        </references>
      </pivotArea>
    </format>
    <format dxfId="2540">
      <pivotArea field="0" dataOnly="0" labelOnly="1" grandRow="1" outline="0" axis="axisRow" fieldPosition="0">
        <references count="1">
          <reference field="4294967294" count="1" selected="0">
            <x v="3"/>
          </reference>
        </references>
      </pivotArea>
    </format>
    <format dxfId="2541">
      <pivotArea field="0" dataOnly="0" labelOnly="1" grandRow="1" outline="0" axis="axisRow" fieldPosition="0">
        <references count="1">
          <reference field="4294967294" count="1" selected="0">
            <x v="4"/>
          </reference>
        </references>
      </pivotArea>
    </format>
    <format dxfId="2542">
      <pivotArea field="0" dataOnly="0" labelOnly="1" grandRow="1" outline="0" axis="axisRow" fieldPosition="0">
        <references count="1">
          <reference field="4294967294" count="1" selected="0">
            <x v="5"/>
          </reference>
        </references>
      </pivotArea>
    </format>
    <format dxfId="2543">
      <pivotArea field="0" dataOnly="0" labelOnly="1" grandRow="1" outline="0" axis="axisRow" fieldPosition="0">
        <references count="1">
          <reference field="4294967294" count="1" selected="0">
            <x v="6"/>
          </reference>
        </references>
      </pivotArea>
    </format>
    <format dxfId="2544">
      <pivotArea field="0" dataOnly="0" labelOnly="1" grandRow="1" outline="0" axis="axisRow" fieldPosition="0">
        <references count="1">
          <reference field="4294967294" count="1" selected="0">
            <x v="7"/>
          </reference>
        </references>
      </pivotArea>
    </format>
    <format dxfId="2545">
      <pivotArea field="0" dataOnly="0" labelOnly="1" grandRow="1" outline="0" axis="axisRow" fieldPosition="0">
        <references count="1">
          <reference field="4294967294" count="1" selected="0">
            <x v="8"/>
          </reference>
        </references>
      </pivotArea>
    </format>
    <format dxfId="2546">
      <pivotArea field="0" dataOnly="0" labelOnly="1" grandRow="1" outline="0" axis="axisRow" fieldPosition="0">
        <references count="1">
          <reference field="4294967294" count="1" selected="0">
            <x v="9"/>
          </reference>
        </references>
      </pivotArea>
    </format>
    <format dxfId="2547">
      <pivotArea field="0" dataOnly="0" labelOnly="1" grandRow="1" outline="0" axis="axisRow" fieldPosition="0">
        <references count="1">
          <reference field="4294967294" count="1" selected="0">
            <x v="10"/>
          </reference>
        </references>
      </pivotArea>
    </format>
    <format dxfId="2548">
      <pivotArea field="0" dataOnly="0" labelOnly="1" grandRow="1" outline="0" axis="axisRow" fieldPosition="0">
        <references count="1">
          <reference field="4294967294" count="1" selected="0">
            <x v="11"/>
          </reference>
        </references>
      </pivotArea>
    </format>
    <format dxfId="2549">
      <pivotArea field="0" dataOnly="0" labelOnly="1" grandRow="1" outline="0" axis="axisRow" fieldPosition="0">
        <references count="1">
          <reference field="4294967294" count="1" selected="0">
            <x v="12"/>
          </reference>
        </references>
      </pivotArea>
    </format>
    <format dxfId="2550">
      <pivotArea field="0" dataOnly="0" labelOnly="1" grandRow="1" outline="0" axis="axisRow" fieldPosition="0">
        <references count="1">
          <reference field="4294967294" count="1" selected="0">
            <x v="13"/>
          </reference>
        </references>
      </pivotArea>
    </format>
    <format dxfId="2551">
      <pivotArea field="0" dataOnly="0" labelOnly="1" grandRow="1" outline="0" axis="axisRow" fieldPosition="0">
        <references count="1">
          <reference field="4294967294" count="1" selected="0">
            <x v="14"/>
          </reference>
        </references>
      </pivotArea>
    </format>
    <format dxfId="2552">
      <pivotArea field="0" dataOnly="0" labelOnly="1" grandRow="1" outline="0" axis="axisRow" fieldPosition="0">
        <references count="1">
          <reference field="4294967294" count="1" selected="0">
            <x v="15"/>
          </reference>
        </references>
      </pivotArea>
    </format>
    <format dxfId="2553">
      <pivotArea field="0" dataOnly="0" labelOnly="1" grandRow="1" outline="0" axis="axisRow" fieldPosition="0">
        <references count="1">
          <reference field="4294967294" count="1" selected="0">
            <x v="16"/>
          </reference>
        </references>
      </pivotArea>
    </format>
    <format dxfId="2554">
      <pivotArea field="0" dataOnly="0" labelOnly="1" grandRow="1" outline="0" axis="axisRow" fieldPosition="0">
        <references count="1">
          <reference field="4294967294" count="1" selected="0">
            <x v="17"/>
          </reference>
        </references>
      </pivotArea>
    </format>
    <format dxfId="2555">
      <pivotArea field="0" dataOnly="0" labelOnly="1" grandRow="1" outline="0" axis="axisRow" fieldPosition="0">
        <references count="1">
          <reference field="4294967294" count="1" selected="0">
            <x v="18"/>
          </reference>
        </references>
      </pivotArea>
    </format>
    <format dxfId="2556">
      <pivotArea field="0" dataOnly="0" labelOnly="1" grandRow="1" outline="0" axis="axisRow" fieldPosition="0">
        <references count="1">
          <reference field="4294967294" count="1" selected="0">
            <x v="19"/>
          </reference>
        </references>
      </pivotArea>
    </format>
    <format dxfId="2557">
      <pivotArea field="0" dataOnly="0" labelOnly="1" grandRow="1" outline="0" axis="axisRow" fieldPosition="0">
        <references count="1">
          <reference field="4294967294" count="1" selected="0">
            <x v="20"/>
          </reference>
        </references>
      </pivotArea>
    </format>
    <format dxfId="2558">
      <pivotArea field="0" dataOnly="0" labelOnly="1" grandRow="1" outline="0" axis="axisRow" fieldPosition="0">
        <references count="1">
          <reference field="4294967294" count="1" selected="0">
            <x v="21"/>
          </reference>
        </references>
      </pivotArea>
    </format>
    <format dxfId="2559">
      <pivotArea field="0" dataOnly="0" labelOnly="1" grandRow="1" outline="0" axis="axisRow" fieldPosition="0">
        <references count="1">
          <reference field="4294967294" count="1" selected="0">
            <x v="22"/>
          </reference>
        </references>
      </pivotArea>
    </format>
    <format dxfId="2560">
      <pivotArea field="0" dataOnly="0" labelOnly="1" grandRow="1" outline="0" axis="axisRow" fieldPosition="0">
        <references count="1">
          <reference field="4294967294" count="1" selected="0">
            <x v="23"/>
          </reference>
        </references>
      </pivotArea>
    </format>
    <format dxfId="2561">
      <pivotArea field="0" dataOnly="0" labelOnly="1" grandRow="1" outline="0" axis="axisRow" fieldPosition="0">
        <references count="1">
          <reference field="4294967294" count="1" selected="0">
            <x v="24"/>
          </reference>
        </references>
      </pivotArea>
    </format>
    <format dxfId="2562">
      <pivotArea field="0" dataOnly="0" labelOnly="1" grandRow="1" outline="0" axis="axisRow" fieldPosition="0">
        <references count="1">
          <reference field="4294967294" count="1" selected="0">
            <x v="25"/>
          </reference>
        </references>
      </pivotArea>
    </format>
    <format dxfId="2563">
      <pivotArea field="0" dataOnly="0" labelOnly="1" grandRow="1" outline="0" axis="axisRow" fieldPosition="0">
        <references count="1">
          <reference field="4294967294" count="1" selected="0">
            <x v="26"/>
          </reference>
        </references>
      </pivotArea>
    </format>
    <format dxfId="2564">
      <pivotArea field="0" dataOnly="0" labelOnly="1" grandRow="1" outline="0" axis="axisRow" fieldPosition="0">
        <references count="1">
          <reference field="4294967294" count="1" selected="0">
            <x v="27"/>
          </reference>
        </references>
      </pivotArea>
    </format>
    <format dxfId="2565">
      <pivotArea field="0" dataOnly="0" labelOnly="1" grandRow="1" outline="0" axis="axisRow" fieldPosition="0">
        <references count="1">
          <reference field="4294967294" count="1" selected="0">
            <x v="28"/>
          </reference>
        </references>
      </pivotArea>
    </format>
    <format dxfId="2566">
      <pivotArea field="0" dataOnly="0" labelOnly="1" grandRow="1" outline="0" axis="axisRow" fieldPosition="0">
        <references count="1">
          <reference field="4294967294" count="1" selected="0">
            <x v="29"/>
          </reference>
        </references>
      </pivotArea>
    </format>
    <format dxfId="2567">
      <pivotArea field="0" dataOnly="0" labelOnly="1" grandRow="1" outline="0" axis="axisRow" fieldPosition="0">
        <references count="1">
          <reference field="4294967294" count="1" selected="0">
            <x v="30"/>
          </reference>
        </references>
      </pivotArea>
    </format>
    <format dxfId="2568">
      <pivotArea field="0" dataOnly="0" labelOnly="1" grandRow="1" outline="0" axis="axisRow" fieldPosition="0">
        <references count="1">
          <reference field="4294967294" count="1" selected="0">
            <x v="31"/>
          </reference>
        </references>
      </pivotArea>
    </format>
    <format dxfId="2569">
      <pivotArea field="0" dataOnly="0" labelOnly="1" grandRow="1" outline="0" axis="axisRow" fieldPosition="0">
        <references count="1">
          <reference field="4294967294" count="1" selected="0">
            <x v="32"/>
          </reference>
        </references>
      </pivotArea>
    </format>
    <format dxfId="2570">
      <pivotArea field="0" dataOnly="0" labelOnly="1" grandRow="1" outline="0" axis="axisRow" fieldPosition="0">
        <references count="1">
          <reference field="4294967294" count="1" selected="0">
            <x v="33"/>
          </reference>
        </references>
      </pivotArea>
    </format>
    <format dxfId="2571">
      <pivotArea field="0" dataOnly="0" labelOnly="1" grandRow="1" outline="0" axis="axisRow" fieldPosition="0">
        <references count="1">
          <reference field="4294967294" count="1" selected="0">
            <x v="34"/>
          </reference>
        </references>
      </pivotArea>
    </format>
    <format dxfId="2572">
      <pivotArea field="0" dataOnly="0" labelOnly="1" grandRow="1" outline="0" axis="axisRow" fieldPosition="0">
        <references count="1">
          <reference field="4294967294" count="1" selected="0">
            <x v="35"/>
          </reference>
        </references>
      </pivotArea>
    </format>
    <format dxfId="2573">
      <pivotArea field="0" dataOnly="0" labelOnly="1" grandRow="1" outline="0" axis="axisRow" fieldPosition="0">
        <references count="1">
          <reference field="4294967294" count="1" selected="0">
            <x v="0"/>
          </reference>
        </references>
      </pivotArea>
    </format>
    <format dxfId="2574">
      <pivotArea field="0" dataOnly="0" labelOnly="1" grandRow="1" outline="0" axis="axisRow" fieldPosition="0">
        <references count="1">
          <reference field="4294967294" count="1" selected="0">
            <x v="1"/>
          </reference>
        </references>
      </pivotArea>
    </format>
    <format dxfId="2575">
      <pivotArea field="0" dataOnly="0" labelOnly="1" grandRow="1" outline="0" axis="axisRow" fieldPosition="0">
        <references count="1">
          <reference field="4294967294" count="1" selected="0">
            <x v="2"/>
          </reference>
        </references>
      </pivotArea>
    </format>
    <format dxfId="2576">
      <pivotArea field="0" dataOnly="0" labelOnly="1" grandRow="1" outline="0" axis="axisRow" fieldPosition="0">
        <references count="1">
          <reference field="4294967294" count="1" selected="0">
            <x v="3"/>
          </reference>
        </references>
      </pivotArea>
    </format>
    <format dxfId="2577">
      <pivotArea field="0" dataOnly="0" labelOnly="1" grandRow="1" outline="0" axis="axisRow" fieldPosition="0">
        <references count="1">
          <reference field="4294967294" count="1" selected="0">
            <x v="4"/>
          </reference>
        </references>
      </pivotArea>
    </format>
    <format dxfId="2578">
      <pivotArea field="0" dataOnly="0" labelOnly="1" grandRow="1" outline="0" axis="axisRow" fieldPosition="0">
        <references count="1">
          <reference field="4294967294" count="1" selected="0">
            <x v="5"/>
          </reference>
        </references>
      </pivotArea>
    </format>
    <format dxfId="2579">
      <pivotArea field="0" dataOnly="0" labelOnly="1" grandRow="1" outline="0" axis="axisRow" fieldPosition="0">
        <references count="1">
          <reference field="4294967294" count="1" selected="0">
            <x v="6"/>
          </reference>
        </references>
      </pivotArea>
    </format>
    <format dxfId="2580">
      <pivotArea field="0" dataOnly="0" labelOnly="1" grandRow="1" outline="0" axis="axisRow" fieldPosition="0">
        <references count="1">
          <reference field="4294967294" count="1" selected="0">
            <x v="7"/>
          </reference>
        </references>
      </pivotArea>
    </format>
    <format dxfId="2581">
      <pivotArea field="0" dataOnly="0" labelOnly="1" grandRow="1" outline="0" axis="axisRow" fieldPosition="0">
        <references count="1">
          <reference field="4294967294" count="1" selected="0">
            <x v="8"/>
          </reference>
        </references>
      </pivotArea>
    </format>
    <format dxfId="2582">
      <pivotArea field="0" dataOnly="0" labelOnly="1" grandRow="1" outline="0" axis="axisRow" fieldPosition="0">
        <references count="1">
          <reference field="4294967294" count="1" selected="0">
            <x v="9"/>
          </reference>
        </references>
      </pivotArea>
    </format>
    <format dxfId="2583">
      <pivotArea field="0" dataOnly="0" labelOnly="1" grandRow="1" outline="0" axis="axisRow" fieldPosition="0">
        <references count="1">
          <reference field="4294967294" count="1" selected="0">
            <x v="10"/>
          </reference>
        </references>
      </pivotArea>
    </format>
    <format dxfId="2584">
      <pivotArea field="0" dataOnly="0" labelOnly="1" grandRow="1" outline="0" axis="axisRow" fieldPosition="0">
        <references count="1">
          <reference field="4294967294" count="1" selected="0">
            <x v="11"/>
          </reference>
        </references>
      </pivotArea>
    </format>
    <format dxfId="2585">
      <pivotArea field="0" dataOnly="0" labelOnly="1" grandRow="1" outline="0" axis="axisRow" fieldPosition="0">
        <references count="1">
          <reference field="4294967294" count="1" selected="0">
            <x v="12"/>
          </reference>
        </references>
      </pivotArea>
    </format>
    <format dxfId="2586">
      <pivotArea field="0" dataOnly="0" labelOnly="1" grandRow="1" outline="0" axis="axisRow" fieldPosition="0">
        <references count="1">
          <reference field="4294967294" count="1" selected="0">
            <x v="13"/>
          </reference>
        </references>
      </pivotArea>
    </format>
    <format dxfId="2587">
      <pivotArea field="0" dataOnly="0" labelOnly="1" grandRow="1" outline="0" axis="axisRow" fieldPosition="0">
        <references count="1">
          <reference field="4294967294" count="1" selected="0">
            <x v="14"/>
          </reference>
        </references>
      </pivotArea>
    </format>
    <format dxfId="2588">
      <pivotArea field="0" dataOnly="0" labelOnly="1" grandRow="1" outline="0" axis="axisRow" fieldPosition="0">
        <references count="1">
          <reference field="4294967294" count="1" selected="0">
            <x v="15"/>
          </reference>
        </references>
      </pivotArea>
    </format>
    <format dxfId="2589">
      <pivotArea field="0" dataOnly="0" labelOnly="1" grandRow="1" outline="0" axis="axisRow" fieldPosition="0">
        <references count="1">
          <reference field="4294967294" count="1" selected="0">
            <x v="16"/>
          </reference>
        </references>
      </pivotArea>
    </format>
    <format dxfId="2590">
      <pivotArea field="0" dataOnly="0" labelOnly="1" grandRow="1" outline="0" axis="axisRow" fieldPosition="0">
        <references count="1">
          <reference field="4294967294" count="1" selected="0">
            <x v="17"/>
          </reference>
        </references>
      </pivotArea>
    </format>
    <format dxfId="2591">
      <pivotArea field="0" dataOnly="0" labelOnly="1" grandRow="1" outline="0" axis="axisRow" fieldPosition="0">
        <references count="1">
          <reference field="4294967294" count="1" selected="0">
            <x v="18"/>
          </reference>
        </references>
      </pivotArea>
    </format>
    <format dxfId="2592">
      <pivotArea field="0" dataOnly="0" labelOnly="1" grandRow="1" outline="0" axis="axisRow" fieldPosition="0">
        <references count="1">
          <reference field="4294967294" count="1" selected="0">
            <x v="19"/>
          </reference>
        </references>
      </pivotArea>
    </format>
    <format dxfId="2593">
      <pivotArea field="0" dataOnly="0" labelOnly="1" grandRow="1" outline="0" axis="axisRow" fieldPosition="0">
        <references count="1">
          <reference field="4294967294" count="1" selected="0">
            <x v="20"/>
          </reference>
        </references>
      </pivotArea>
    </format>
    <format dxfId="2594">
      <pivotArea field="0" dataOnly="0" labelOnly="1" grandRow="1" outline="0" axis="axisRow" fieldPosition="0">
        <references count="1">
          <reference field="4294967294" count="1" selected="0">
            <x v="21"/>
          </reference>
        </references>
      </pivotArea>
    </format>
    <format dxfId="2595">
      <pivotArea field="0" dataOnly="0" labelOnly="1" grandRow="1" outline="0" axis="axisRow" fieldPosition="0">
        <references count="1">
          <reference field="4294967294" count="1" selected="0">
            <x v="22"/>
          </reference>
        </references>
      </pivotArea>
    </format>
    <format dxfId="2596">
      <pivotArea field="0" dataOnly="0" labelOnly="1" grandRow="1" outline="0" axis="axisRow" fieldPosition="0">
        <references count="1">
          <reference field="4294967294" count="1" selected="0">
            <x v="23"/>
          </reference>
        </references>
      </pivotArea>
    </format>
    <format dxfId="2597">
      <pivotArea field="0" dataOnly="0" labelOnly="1" grandRow="1" outline="0" axis="axisRow" fieldPosition="0">
        <references count="1">
          <reference field="4294967294" count="1" selected="0">
            <x v="24"/>
          </reference>
        </references>
      </pivotArea>
    </format>
    <format dxfId="2598">
      <pivotArea field="0" dataOnly="0" labelOnly="1" grandRow="1" outline="0" axis="axisRow" fieldPosition="0">
        <references count="1">
          <reference field="4294967294" count="1" selected="0">
            <x v="25"/>
          </reference>
        </references>
      </pivotArea>
    </format>
    <format dxfId="2599">
      <pivotArea field="0" dataOnly="0" labelOnly="1" grandRow="1" outline="0" axis="axisRow" fieldPosition="0">
        <references count="1">
          <reference field="4294967294" count="1" selected="0">
            <x v="26"/>
          </reference>
        </references>
      </pivotArea>
    </format>
    <format dxfId="2600">
      <pivotArea field="0" dataOnly="0" labelOnly="1" grandRow="1" outline="0" axis="axisRow" fieldPosition="0">
        <references count="1">
          <reference field="4294967294" count="1" selected="0">
            <x v="27"/>
          </reference>
        </references>
      </pivotArea>
    </format>
    <format dxfId="2601">
      <pivotArea field="0" dataOnly="0" labelOnly="1" grandRow="1" outline="0" axis="axisRow" fieldPosition="0">
        <references count="1">
          <reference field="4294967294" count="1" selected="0">
            <x v="28"/>
          </reference>
        </references>
      </pivotArea>
    </format>
    <format dxfId="2602">
      <pivotArea field="0" dataOnly="0" labelOnly="1" grandRow="1" outline="0" axis="axisRow" fieldPosition="0">
        <references count="1">
          <reference field="4294967294" count="1" selected="0">
            <x v="29"/>
          </reference>
        </references>
      </pivotArea>
    </format>
    <format dxfId="2603">
      <pivotArea field="0" dataOnly="0" labelOnly="1" grandRow="1" outline="0" axis="axisRow" fieldPosition="0">
        <references count="1">
          <reference field="4294967294" count="1" selected="0">
            <x v="30"/>
          </reference>
        </references>
      </pivotArea>
    </format>
    <format dxfId="2604">
      <pivotArea field="0" dataOnly="0" labelOnly="1" grandRow="1" outline="0" axis="axisRow" fieldPosition="0">
        <references count="1">
          <reference field="4294967294" count="1" selected="0">
            <x v="31"/>
          </reference>
        </references>
      </pivotArea>
    </format>
    <format dxfId="2605">
      <pivotArea field="0" dataOnly="0" labelOnly="1" grandRow="1" outline="0" axis="axisRow" fieldPosition="0">
        <references count="1">
          <reference field="4294967294" count="1" selected="0">
            <x v="32"/>
          </reference>
        </references>
      </pivotArea>
    </format>
    <format dxfId="2606">
      <pivotArea field="0" dataOnly="0" labelOnly="1" grandRow="1" outline="0" axis="axisRow" fieldPosition="0">
        <references count="1">
          <reference field="4294967294" count="1" selected="0">
            <x v="33"/>
          </reference>
        </references>
      </pivotArea>
    </format>
    <format dxfId="2607">
      <pivotArea field="0" dataOnly="0" labelOnly="1" grandRow="1" outline="0" axis="axisRow" fieldPosition="0">
        <references count="1">
          <reference field="4294967294" count="1" selected="0">
            <x v="34"/>
          </reference>
        </references>
      </pivotArea>
    </format>
    <format dxfId="2608">
      <pivotArea field="0" dataOnly="0" labelOnly="1" grandRow="1" outline="0" axis="axisRow" fieldPosition="0">
        <references count="1">
          <reference field="4294967294" count="1" selected="0">
            <x v="35"/>
          </reference>
        </references>
      </pivotArea>
    </format>
    <format dxfId="2609">
      <pivotArea field="0" dataOnly="0" labelOnly="1" grandRow="1" outline="0" axis="axisRow" fieldPosition="0">
        <references count="1">
          <reference field="4294967294" count="1" selected="0">
            <x v="0"/>
          </reference>
        </references>
      </pivotArea>
    </format>
    <format dxfId="2610">
      <pivotArea field="0" dataOnly="0" labelOnly="1" grandRow="1" outline="0" axis="axisRow" fieldPosition="0">
        <references count="1">
          <reference field="4294967294" count="1" selected="0">
            <x v="1"/>
          </reference>
        </references>
      </pivotArea>
    </format>
    <format dxfId="2611">
      <pivotArea field="0" dataOnly="0" labelOnly="1" grandRow="1" outline="0" axis="axisRow" fieldPosition="0">
        <references count="1">
          <reference field="4294967294" count="1" selected="0">
            <x v="2"/>
          </reference>
        </references>
      </pivotArea>
    </format>
    <format dxfId="2612">
      <pivotArea field="0" dataOnly="0" labelOnly="1" grandRow="1" outline="0" axis="axisRow" fieldPosition="0">
        <references count="1">
          <reference field="4294967294" count="1" selected="0">
            <x v="3"/>
          </reference>
        </references>
      </pivotArea>
    </format>
    <format dxfId="2613">
      <pivotArea field="0" dataOnly="0" labelOnly="1" grandRow="1" outline="0" axis="axisRow" fieldPosition="0">
        <references count="1">
          <reference field="4294967294" count="1" selected="0">
            <x v="4"/>
          </reference>
        </references>
      </pivotArea>
    </format>
    <format dxfId="2614">
      <pivotArea field="0" dataOnly="0" labelOnly="1" grandRow="1" outline="0" axis="axisRow" fieldPosition="0">
        <references count="1">
          <reference field="4294967294" count="1" selected="0">
            <x v="5"/>
          </reference>
        </references>
      </pivotArea>
    </format>
    <format dxfId="2615">
      <pivotArea field="0" dataOnly="0" labelOnly="1" grandRow="1" outline="0" axis="axisRow" fieldPosition="0">
        <references count="1">
          <reference field="4294967294" count="1" selected="0">
            <x v="6"/>
          </reference>
        </references>
      </pivotArea>
    </format>
    <format dxfId="2616">
      <pivotArea field="0" dataOnly="0" labelOnly="1" grandRow="1" outline="0" axis="axisRow" fieldPosition="0">
        <references count="1">
          <reference field="4294967294" count="1" selected="0">
            <x v="7"/>
          </reference>
        </references>
      </pivotArea>
    </format>
    <format dxfId="2617">
      <pivotArea field="0" dataOnly="0" labelOnly="1" grandRow="1" outline="0" axis="axisRow" fieldPosition="0">
        <references count="1">
          <reference field="4294967294" count="1" selected="0">
            <x v="8"/>
          </reference>
        </references>
      </pivotArea>
    </format>
    <format dxfId="2618">
      <pivotArea field="0" dataOnly="0" labelOnly="1" grandRow="1" outline="0" axis="axisRow" fieldPosition="0">
        <references count="1">
          <reference field="4294967294" count="1" selected="0">
            <x v="9"/>
          </reference>
        </references>
      </pivotArea>
    </format>
    <format dxfId="2619">
      <pivotArea field="0" dataOnly="0" labelOnly="1" grandRow="1" outline="0" axis="axisRow" fieldPosition="0">
        <references count="1">
          <reference field="4294967294" count="1" selected="0">
            <x v="10"/>
          </reference>
        </references>
      </pivotArea>
    </format>
    <format dxfId="2620">
      <pivotArea field="0" dataOnly="0" labelOnly="1" grandRow="1" outline="0" axis="axisRow" fieldPosition="0">
        <references count="1">
          <reference field="4294967294" count="1" selected="0">
            <x v="11"/>
          </reference>
        </references>
      </pivotArea>
    </format>
    <format dxfId="2621">
      <pivotArea field="0" dataOnly="0" labelOnly="1" grandRow="1" outline="0" axis="axisRow" fieldPosition="0">
        <references count="1">
          <reference field="4294967294" count="1" selected="0">
            <x v="12"/>
          </reference>
        </references>
      </pivotArea>
    </format>
    <format dxfId="2622">
      <pivotArea field="0" dataOnly="0" labelOnly="1" grandRow="1" outline="0" axis="axisRow" fieldPosition="0">
        <references count="1">
          <reference field="4294967294" count="1" selected="0">
            <x v="13"/>
          </reference>
        </references>
      </pivotArea>
    </format>
    <format dxfId="2623">
      <pivotArea field="0" dataOnly="0" labelOnly="1" grandRow="1" outline="0" axis="axisRow" fieldPosition="0">
        <references count="1">
          <reference field="4294967294" count="1" selected="0">
            <x v="14"/>
          </reference>
        </references>
      </pivotArea>
    </format>
    <format dxfId="2624">
      <pivotArea field="0" dataOnly="0" labelOnly="1" grandRow="1" outline="0" axis="axisRow" fieldPosition="0">
        <references count="1">
          <reference field="4294967294" count="1" selected="0">
            <x v="15"/>
          </reference>
        </references>
      </pivotArea>
    </format>
    <format dxfId="2625">
      <pivotArea field="0" dataOnly="0" labelOnly="1" grandRow="1" outline="0" axis="axisRow" fieldPosition="0">
        <references count="1">
          <reference field="4294967294" count="1" selected="0">
            <x v="16"/>
          </reference>
        </references>
      </pivotArea>
    </format>
    <format dxfId="2626">
      <pivotArea field="0" dataOnly="0" labelOnly="1" grandRow="1" outline="0" axis="axisRow" fieldPosition="0">
        <references count="1">
          <reference field="4294967294" count="1" selected="0">
            <x v="17"/>
          </reference>
        </references>
      </pivotArea>
    </format>
    <format dxfId="2627">
      <pivotArea field="0" dataOnly="0" labelOnly="1" grandRow="1" outline="0" axis="axisRow" fieldPosition="0">
        <references count="1">
          <reference field="4294967294" count="1" selected="0">
            <x v="18"/>
          </reference>
        </references>
      </pivotArea>
    </format>
    <format dxfId="2628">
      <pivotArea field="0" dataOnly="0" labelOnly="1" grandRow="1" outline="0" axis="axisRow" fieldPosition="0">
        <references count="1">
          <reference field="4294967294" count="1" selected="0">
            <x v="19"/>
          </reference>
        </references>
      </pivotArea>
    </format>
    <format dxfId="2629">
      <pivotArea field="0" dataOnly="0" labelOnly="1" grandRow="1" outline="0" axis="axisRow" fieldPosition="0">
        <references count="1">
          <reference field="4294967294" count="1" selected="0">
            <x v="20"/>
          </reference>
        </references>
      </pivotArea>
    </format>
    <format dxfId="2630">
      <pivotArea field="0" dataOnly="0" labelOnly="1" grandRow="1" outline="0" axis="axisRow" fieldPosition="0">
        <references count="1">
          <reference field="4294967294" count="1" selected="0">
            <x v="21"/>
          </reference>
        </references>
      </pivotArea>
    </format>
    <format dxfId="2631">
      <pivotArea field="0" dataOnly="0" labelOnly="1" grandRow="1" outline="0" axis="axisRow" fieldPosition="0">
        <references count="1">
          <reference field="4294967294" count="1" selected="0">
            <x v="22"/>
          </reference>
        </references>
      </pivotArea>
    </format>
    <format dxfId="2632">
      <pivotArea field="0" dataOnly="0" labelOnly="1" grandRow="1" outline="0" axis="axisRow" fieldPosition="0">
        <references count="1">
          <reference field="4294967294" count="1" selected="0">
            <x v="23"/>
          </reference>
        </references>
      </pivotArea>
    </format>
    <format dxfId="2633">
      <pivotArea field="0" dataOnly="0" labelOnly="1" grandRow="1" outline="0" axis="axisRow" fieldPosition="0">
        <references count="1">
          <reference field="4294967294" count="1" selected="0">
            <x v="24"/>
          </reference>
        </references>
      </pivotArea>
    </format>
    <format dxfId="2634">
      <pivotArea field="0" dataOnly="0" labelOnly="1" grandRow="1" outline="0" axis="axisRow" fieldPosition="0">
        <references count="1">
          <reference field="4294967294" count="1" selected="0">
            <x v="25"/>
          </reference>
        </references>
      </pivotArea>
    </format>
    <format dxfId="2635">
      <pivotArea field="0" dataOnly="0" labelOnly="1" grandRow="1" outline="0" axis="axisRow" fieldPosition="0">
        <references count="1">
          <reference field="4294967294" count="1" selected="0">
            <x v="26"/>
          </reference>
        </references>
      </pivotArea>
    </format>
    <format dxfId="2636">
      <pivotArea field="0" dataOnly="0" labelOnly="1" grandRow="1" outline="0" axis="axisRow" fieldPosition="0">
        <references count="1">
          <reference field="4294967294" count="1" selected="0">
            <x v="27"/>
          </reference>
        </references>
      </pivotArea>
    </format>
    <format dxfId="2637">
      <pivotArea field="0" dataOnly="0" labelOnly="1" grandRow="1" outline="0" axis="axisRow" fieldPosition="0">
        <references count="1">
          <reference field="4294967294" count="1" selected="0">
            <x v="28"/>
          </reference>
        </references>
      </pivotArea>
    </format>
    <format dxfId="2638">
      <pivotArea field="0" dataOnly="0" labelOnly="1" grandRow="1" outline="0" axis="axisRow" fieldPosition="0">
        <references count="1">
          <reference field="4294967294" count="1" selected="0">
            <x v="29"/>
          </reference>
        </references>
      </pivotArea>
    </format>
    <format dxfId="2639">
      <pivotArea field="0" dataOnly="0" labelOnly="1" grandRow="1" outline="0" axis="axisRow" fieldPosition="0">
        <references count="1">
          <reference field="4294967294" count="1" selected="0">
            <x v="30"/>
          </reference>
        </references>
      </pivotArea>
    </format>
    <format dxfId="2640">
      <pivotArea field="0" dataOnly="0" labelOnly="1" grandRow="1" outline="0" axis="axisRow" fieldPosition="0">
        <references count="1">
          <reference field="4294967294" count="1" selected="0">
            <x v="31"/>
          </reference>
        </references>
      </pivotArea>
    </format>
    <format dxfId="2641">
      <pivotArea field="0" dataOnly="0" labelOnly="1" grandRow="1" outline="0" axis="axisRow" fieldPosition="0">
        <references count="1">
          <reference field="4294967294" count="1" selected="0">
            <x v="32"/>
          </reference>
        </references>
      </pivotArea>
    </format>
    <format dxfId="2642">
      <pivotArea field="0" dataOnly="0" labelOnly="1" grandRow="1" outline="0" axis="axisRow" fieldPosition="0">
        <references count="1">
          <reference field="4294967294" count="1" selected="0">
            <x v="33"/>
          </reference>
        </references>
      </pivotArea>
    </format>
    <format dxfId="2643">
      <pivotArea field="0" dataOnly="0" labelOnly="1" grandRow="1" outline="0" axis="axisRow" fieldPosition="0">
        <references count="1">
          <reference field="4294967294" count="1" selected="0">
            <x v="34"/>
          </reference>
        </references>
      </pivotArea>
    </format>
    <format dxfId="2644">
      <pivotArea field="0" dataOnly="0" labelOnly="1" grandRow="1" outline="0" axis="axisRow" fieldPosition="0">
        <references count="1">
          <reference field="4294967294" count="1" selected="0">
            <x v="35"/>
          </reference>
        </references>
      </pivotArea>
    </format>
    <format dxfId="2645">
      <pivotArea field="0" dataOnly="0" labelOnly="1" grandRow="1" outline="0" axis="axisRow" fieldPosition="0">
        <references count="1">
          <reference field="4294967294" count="1" selected="0">
            <x v="0"/>
          </reference>
        </references>
      </pivotArea>
    </format>
    <format dxfId="2646">
      <pivotArea field="0" dataOnly="0" labelOnly="1" grandRow="1" outline="0" axis="axisRow" fieldPosition="0">
        <references count="1">
          <reference field="4294967294" count="1" selected="0">
            <x v="1"/>
          </reference>
        </references>
      </pivotArea>
    </format>
    <format dxfId="2647">
      <pivotArea field="0" dataOnly="0" labelOnly="1" grandRow="1" outline="0" axis="axisRow" fieldPosition="0">
        <references count="1">
          <reference field="4294967294" count="1" selected="0">
            <x v="2"/>
          </reference>
        </references>
      </pivotArea>
    </format>
    <format dxfId="2648">
      <pivotArea field="0" dataOnly="0" labelOnly="1" grandRow="1" outline="0" axis="axisRow" fieldPosition="0">
        <references count="1">
          <reference field="4294967294" count="1" selected="0">
            <x v="3"/>
          </reference>
        </references>
      </pivotArea>
    </format>
    <format dxfId="2649">
      <pivotArea field="0" dataOnly="0" labelOnly="1" grandRow="1" outline="0" axis="axisRow" fieldPosition="0">
        <references count="1">
          <reference field="4294967294" count="1" selected="0">
            <x v="4"/>
          </reference>
        </references>
      </pivotArea>
    </format>
    <format dxfId="2650">
      <pivotArea field="0" dataOnly="0" labelOnly="1" grandRow="1" outline="0" axis="axisRow" fieldPosition="0">
        <references count="1">
          <reference field="4294967294" count="1" selected="0">
            <x v="5"/>
          </reference>
        </references>
      </pivotArea>
    </format>
    <format dxfId="2651">
      <pivotArea field="0" dataOnly="0" labelOnly="1" grandRow="1" outline="0" axis="axisRow" fieldPosition="0">
        <references count="1">
          <reference field="4294967294" count="1" selected="0">
            <x v="6"/>
          </reference>
        </references>
      </pivotArea>
    </format>
    <format dxfId="2652">
      <pivotArea field="0" dataOnly="0" labelOnly="1" grandRow="1" outline="0" axis="axisRow" fieldPosition="0">
        <references count="1">
          <reference field="4294967294" count="1" selected="0">
            <x v="7"/>
          </reference>
        </references>
      </pivotArea>
    </format>
    <format dxfId="2653">
      <pivotArea field="0" dataOnly="0" labelOnly="1" grandRow="1" outline="0" axis="axisRow" fieldPosition="0">
        <references count="1">
          <reference field="4294967294" count="1" selected="0">
            <x v="8"/>
          </reference>
        </references>
      </pivotArea>
    </format>
    <format dxfId="2654">
      <pivotArea field="0" dataOnly="0" labelOnly="1" grandRow="1" outline="0" axis="axisRow" fieldPosition="0">
        <references count="1">
          <reference field="4294967294" count="1" selected="0">
            <x v="9"/>
          </reference>
        </references>
      </pivotArea>
    </format>
    <format dxfId="2655">
      <pivotArea field="0" dataOnly="0" labelOnly="1" grandRow="1" outline="0" axis="axisRow" fieldPosition="0">
        <references count="1">
          <reference field="4294967294" count="1" selected="0">
            <x v="10"/>
          </reference>
        </references>
      </pivotArea>
    </format>
    <format dxfId="2656">
      <pivotArea field="0" dataOnly="0" labelOnly="1" grandRow="1" outline="0" axis="axisRow" fieldPosition="0">
        <references count="1">
          <reference field="4294967294" count="1" selected="0">
            <x v="11"/>
          </reference>
        </references>
      </pivotArea>
    </format>
    <format dxfId="2657">
      <pivotArea field="0" dataOnly="0" labelOnly="1" grandRow="1" outline="0" axis="axisRow" fieldPosition="0">
        <references count="1">
          <reference field="4294967294" count="1" selected="0">
            <x v="12"/>
          </reference>
        </references>
      </pivotArea>
    </format>
    <format dxfId="2658">
      <pivotArea field="0" dataOnly="0" labelOnly="1" grandRow="1" outline="0" axis="axisRow" fieldPosition="0">
        <references count="1">
          <reference field="4294967294" count="1" selected="0">
            <x v="13"/>
          </reference>
        </references>
      </pivotArea>
    </format>
    <format dxfId="2659">
      <pivotArea field="0" dataOnly="0" labelOnly="1" grandRow="1" outline="0" axis="axisRow" fieldPosition="0">
        <references count="1">
          <reference field="4294967294" count="1" selected="0">
            <x v="14"/>
          </reference>
        </references>
      </pivotArea>
    </format>
    <format dxfId="2660">
      <pivotArea field="0" dataOnly="0" labelOnly="1" grandRow="1" outline="0" axis="axisRow" fieldPosition="0">
        <references count="1">
          <reference field="4294967294" count="1" selected="0">
            <x v="15"/>
          </reference>
        </references>
      </pivotArea>
    </format>
    <format dxfId="2661">
      <pivotArea field="0" dataOnly="0" labelOnly="1" grandRow="1" outline="0" axis="axisRow" fieldPosition="0">
        <references count="1">
          <reference field="4294967294" count="1" selected="0">
            <x v="16"/>
          </reference>
        </references>
      </pivotArea>
    </format>
    <format dxfId="2662">
      <pivotArea field="0" dataOnly="0" labelOnly="1" grandRow="1" outline="0" axis="axisRow" fieldPosition="0">
        <references count="1">
          <reference field="4294967294" count="1" selected="0">
            <x v="17"/>
          </reference>
        </references>
      </pivotArea>
    </format>
    <format dxfId="2663">
      <pivotArea field="0" dataOnly="0" labelOnly="1" grandRow="1" outline="0" axis="axisRow" fieldPosition="0">
        <references count="1">
          <reference field="4294967294" count="1" selected="0">
            <x v="18"/>
          </reference>
        </references>
      </pivotArea>
    </format>
    <format dxfId="2664">
      <pivotArea field="0" dataOnly="0" labelOnly="1" grandRow="1" outline="0" axis="axisRow" fieldPosition="0">
        <references count="1">
          <reference field="4294967294" count="1" selected="0">
            <x v="19"/>
          </reference>
        </references>
      </pivotArea>
    </format>
    <format dxfId="2665">
      <pivotArea field="0" dataOnly="0" labelOnly="1" grandRow="1" outline="0" axis="axisRow" fieldPosition="0">
        <references count="1">
          <reference field="4294967294" count="1" selected="0">
            <x v="20"/>
          </reference>
        </references>
      </pivotArea>
    </format>
    <format dxfId="2666">
      <pivotArea field="0" dataOnly="0" labelOnly="1" grandRow="1" outline="0" axis="axisRow" fieldPosition="0">
        <references count="1">
          <reference field="4294967294" count="1" selected="0">
            <x v="21"/>
          </reference>
        </references>
      </pivotArea>
    </format>
    <format dxfId="2667">
      <pivotArea field="0" dataOnly="0" labelOnly="1" grandRow="1" outline="0" axis="axisRow" fieldPosition="0">
        <references count="1">
          <reference field="4294967294" count="1" selected="0">
            <x v="22"/>
          </reference>
        </references>
      </pivotArea>
    </format>
    <format dxfId="2668">
      <pivotArea field="0" dataOnly="0" labelOnly="1" grandRow="1" outline="0" axis="axisRow" fieldPosition="0">
        <references count="1">
          <reference field="4294967294" count="1" selected="0">
            <x v="23"/>
          </reference>
        </references>
      </pivotArea>
    </format>
    <format dxfId="2669">
      <pivotArea field="0" dataOnly="0" labelOnly="1" grandRow="1" outline="0" axis="axisRow" fieldPosition="0">
        <references count="1">
          <reference field="4294967294" count="1" selected="0">
            <x v="24"/>
          </reference>
        </references>
      </pivotArea>
    </format>
    <format dxfId="2670">
      <pivotArea field="0" dataOnly="0" labelOnly="1" grandRow="1" outline="0" axis="axisRow" fieldPosition="0">
        <references count="1">
          <reference field="4294967294" count="1" selected="0">
            <x v="25"/>
          </reference>
        </references>
      </pivotArea>
    </format>
    <format dxfId="2671">
      <pivotArea field="0" dataOnly="0" labelOnly="1" grandRow="1" outline="0" axis="axisRow" fieldPosition="0">
        <references count="1">
          <reference field="4294967294" count="1" selected="0">
            <x v="26"/>
          </reference>
        </references>
      </pivotArea>
    </format>
    <format dxfId="2672">
      <pivotArea field="0" dataOnly="0" labelOnly="1" grandRow="1" outline="0" axis="axisRow" fieldPosition="0">
        <references count="1">
          <reference field="4294967294" count="1" selected="0">
            <x v="27"/>
          </reference>
        </references>
      </pivotArea>
    </format>
    <format dxfId="2673">
      <pivotArea field="0" dataOnly="0" labelOnly="1" grandRow="1" outline="0" axis="axisRow" fieldPosition="0">
        <references count="1">
          <reference field="4294967294" count="1" selected="0">
            <x v="28"/>
          </reference>
        </references>
      </pivotArea>
    </format>
    <format dxfId="2674">
      <pivotArea field="0" dataOnly="0" labelOnly="1" grandRow="1" outline="0" axis="axisRow" fieldPosition="0">
        <references count="1">
          <reference field="4294967294" count="1" selected="0">
            <x v="29"/>
          </reference>
        </references>
      </pivotArea>
    </format>
    <format dxfId="2675">
      <pivotArea field="0" dataOnly="0" labelOnly="1" grandRow="1" outline="0" axis="axisRow" fieldPosition="0">
        <references count="1">
          <reference field="4294967294" count="1" selected="0">
            <x v="30"/>
          </reference>
        </references>
      </pivotArea>
    </format>
    <format dxfId="2676">
      <pivotArea field="0" dataOnly="0" labelOnly="1" grandRow="1" outline="0" axis="axisRow" fieldPosition="0">
        <references count="1">
          <reference field="4294967294" count="1" selected="0">
            <x v="31"/>
          </reference>
        </references>
      </pivotArea>
    </format>
    <format dxfId="2677">
      <pivotArea field="0" dataOnly="0" labelOnly="1" grandRow="1" outline="0" axis="axisRow" fieldPosition="0">
        <references count="1">
          <reference field="4294967294" count="1" selected="0">
            <x v="32"/>
          </reference>
        </references>
      </pivotArea>
    </format>
    <format dxfId="2678">
      <pivotArea field="0" dataOnly="0" labelOnly="1" grandRow="1" outline="0" axis="axisRow" fieldPosition="0">
        <references count="1">
          <reference field="4294967294" count="1" selected="0">
            <x v="33"/>
          </reference>
        </references>
      </pivotArea>
    </format>
    <format dxfId="2679">
      <pivotArea field="0" dataOnly="0" labelOnly="1" grandRow="1" outline="0" axis="axisRow" fieldPosition="0">
        <references count="1">
          <reference field="4294967294" count="1" selected="0">
            <x v="34"/>
          </reference>
        </references>
      </pivotArea>
    </format>
    <format dxfId="2680">
      <pivotArea field="0" dataOnly="0" labelOnly="1" grandRow="1" outline="0" axis="axisRow" fieldPosition="0">
        <references count="1">
          <reference field="4294967294" count="1" selected="0">
            <x v="35"/>
          </reference>
        </references>
      </pivotArea>
    </format>
    <format dxfId="268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268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268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268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268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268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268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268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268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269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269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269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269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269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269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269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2697">
      <pivotArea dataOnly="0" labelOnly="1" outline="0" fieldPosition="0">
        <references count="1">
          <reference field="70" count="0"/>
        </references>
      </pivotArea>
    </format>
    <format dxfId="2698">
      <pivotArea dataOnly="0" labelOnly="1" outline="0" fieldPosition="0">
        <references count="1">
          <reference field="70" count="0" defaultSubtotal="1"/>
        </references>
      </pivotArea>
    </format>
    <format dxfId="2699">
      <pivotArea dataOnly="0" labelOnly="1" grandCol="1" outline="0" fieldPosition="0"/>
    </format>
    <format dxfId="2700">
      <pivotArea dataOnly="0" labelOnly="1" outline="0" fieldPosition="0">
        <references count="2">
          <reference field="4" count="7">
            <x v="0"/>
            <x v="1"/>
            <x v="2"/>
            <x v="3"/>
            <x v="4"/>
            <x v="5"/>
            <x v="6"/>
          </reference>
          <reference field="70" count="1" selected="0">
            <x v="0"/>
          </reference>
        </references>
      </pivotArea>
    </format>
    <format dxfId="2701">
      <pivotArea dataOnly="0" labelOnly="1" outline="0" fieldPosition="0">
        <references count="2">
          <reference field="4" count="4">
            <x v="7"/>
            <x v="8"/>
            <x v="9"/>
            <x v="10"/>
          </reference>
          <reference field="70" count="1" selected="0">
            <x v="1"/>
          </reference>
        </references>
      </pivotArea>
    </format>
    <format dxfId="2702">
      <pivotArea dataOnly="0" labelOnly="1" outline="0" fieldPosition="0">
        <references count="2">
          <reference field="4" count="2">
            <x v="11"/>
            <x v="12"/>
          </reference>
          <reference field="70" count="1" selected="0">
            <x v="2"/>
          </reference>
        </references>
      </pivotArea>
    </format>
    <format dxfId="2703">
      <pivotArea outline="0" fieldPosition="0">
        <references count="4">
          <reference field="4294967294" count="1" selected="0">
            <x v="2"/>
          </reference>
          <reference field="0" count="1" selected="0">
            <x v="0"/>
          </reference>
          <reference field="4" count="1" selected="0">
            <x v="5"/>
          </reference>
          <reference field="70" count="1" selected="0">
            <x v="0"/>
          </reference>
        </references>
      </pivotArea>
    </format>
    <format dxfId="2704">
      <pivotArea outline="0" fieldPosition="0">
        <references count="4">
          <reference field="4294967294" count="1" selected="0">
            <x v="8"/>
          </reference>
          <reference field="0" count="1" selected="0">
            <x v="0"/>
          </reference>
          <reference field="4" count="1" selected="0">
            <x v="5"/>
          </reference>
          <reference field="70" count="1" selected="0">
            <x v="0"/>
          </reference>
        </references>
      </pivotArea>
    </format>
    <format dxfId="2705">
      <pivotArea outline="0" fieldPosition="0">
        <references count="4">
          <reference field="4294967294" count="1" selected="0">
            <x v="20"/>
          </reference>
          <reference field="0" count="1" selected="0">
            <x v="0"/>
          </reference>
          <reference field="4" count="1" selected="0">
            <x v="1"/>
          </reference>
          <reference field="70" count="1" selected="0">
            <x v="0"/>
          </reference>
        </references>
      </pivotArea>
    </format>
    <format dxfId="2706">
      <pivotArea outline="0" fieldPosition="0">
        <references count="4">
          <reference field="4294967294" count="1" selected="0">
            <x v="26"/>
          </reference>
          <reference field="0" count="1" selected="0">
            <x v="0"/>
          </reference>
          <reference field="4" count="1" selected="0">
            <x v="1"/>
          </reference>
          <reference field="70" count="1" selected="0">
            <x v="0"/>
          </reference>
        </references>
      </pivotArea>
    </format>
    <format dxfId="2707">
      <pivotArea outline="0" fieldPosition="0">
        <references count="4">
          <reference field="4294967294" count="1" selected="0">
            <x v="26"/>
          </reference>
          <reference field="0" count="1" selected="0">
            <x v="0"/>
          </reference>
          <reference field="4" count="1" selected="0">
            <x v="3"/>
          </reference>
          <reference field="70" count="1" selected="0">
            <x v="0"/>
          </reference>
        </references>
      </pivotArea>
    </format>
    <format dxfId="2708">
      <pivotArea outline="0" fieldPosition="0">
        <references count="4">
          <reference field="4294967294" count="1" selected="0">
            <x v="14"/>
          </reference>
          <reference field="0" count="1" selected="0">
            <x v="0"/>
          </reference>
          <reference field="4" count="1" selected="0">
            <x v="10"/>
          </reference>
          <reference field="70" count="1" selected="0">
            <x v="1"/>
          </reference>
        </references>
      </pivotArea>
    </format>
    <format dxfId="2709">
      <pivotArea outline="0" fieldPosition="0">
        <references count="4">
          <reference field="4294967294" count="1" selected="0">
            <x v="2"/>
          </reference>
          <reference field="0" count="1" selected="0">
            <x v="0"/>
          </reference>
          <reference field="4" count="1" selected="0">
            <x v="11"/>
          </reference>
          <reference field="70" count="1" selected="0">
            <x v="2"/>
          </reference>
        </references>
      </pivotArea>
    </format>
    <format dxfId="2710">
      <pivotArea outline="0" fieldPosition="0">
        <references count="4">
          <reference field="4294967294" count="1" selected="0">
            <x v="5"/>
          </reference>
          <reference field="0" count="1" selected="0">
            <x v="0"/>
          </reference>
          <reference field="4" count="1" selected="0">
            <x v="11"/>
          </reference>
          <reference field="70" count="1" selected="0">
            <x v="2"/>
          </reference>
        </references>
      </pivotArea>
    </format>
    <format dxfId="2711">
      <pivotArea outline="0" fieldPosition="0">
        <references count="4">
          <reference field="4294967294" count="1" selected="0">
            <x v="20"/>
          </reference>
          <reference field="0" count="1" selected="0">
            <x v="1"/>
          </reference>
          <reference field="4" count="1" selected="0">
            <x v="4"/>
          </reference>
          <reference field="70" count="1" selected="0">
            <x v="0"/>
          </reference>
        </references>
      </pivotArea>
    </format>
    <format dxfId="2712">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2713">
      <pivotArea outline="0" fieldPosition="0">
        <references count="4">
          <reference field="4294967294" count="1" selected="0">
            <x v="26"/>
          </reference>
          <reference field="0" count="1" selected="0">
            <x v="1"/>
          </reference>
          <reference field="4" count="1" selected="0">
            <x v="4"/>
          </reference>
          <reference field="70" count="1" selected="0">
            <x v="0"/>
          </reference>
        </references>
      </pivotArea>
    </format>
    <format dxfId="2714">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2715">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2716">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2717">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2718">
      <pivotArea outline="0" fieldPosition="0">
        <references count="4">
          <reference field="4294967294" count="1" selected="0">
            <x v="20"/>
          </reference>
          <reference field="0" count="1" selected="0">
            <x v="2"/>
          </reference>
          <reference field="4" count="1" selected="0">
            <x v="2"/>
          </reference>
          <reference field="70" count="1" selected="0">
            <x v="0"/>
          </reference>
        </references>
      </pivotArea>
    </format>
    <format dxfId="2719">
      <pivotArea outline="0" fieldPosition="0">
        <references count="4">
          <reference field="4294967294" count="1" selected="0">
            <x v="26"/>
          </reference>
          <reference field="0" count="1" selected="0">
            <x v="2"/>
          </reference>
          <reference field="4" count="1" selected="0">
            <x v="2"/>
          </reference>
          <reference field="70" count="1" selected="0">
            <x v="0"/>
          </reference>
        </references>
      </pivotArea>
    </format>
    <format dxfId="2720">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2721">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2722">
      <pivotArea outline="0" fieldPosition="0">
        <references count="4">
          <reference field="4294967294" count="1" selected="0">
            <x v="20"/>
          </reference>
          <reference field="0" count="1" selected="0">
            <x v="3"/>
          </reference>
          <reference field="4" count="1" selected="0">
            <x v="0"/>
          </reference>
          <reference field="70" count="1" selected="0">
            <x v="0"/>
          </reference>
        </references>
      </pivotArea>
    </format>
    <format dxfId="2723">
      <pivotArea outline="0" fieldPosition="0">
        <references count="4">
          <reference field="4294967294" count="1" selected="0">
            <x v="26"/>
          </reference>
          <reference field="0" count="1" selected="0">
            <x v="3"/>
          </reference>
          <reference field="4" count="1" selected="0">
            <x v="0"/>
          </reference>
          <reference field="70" count="1" selected="0">
            <x v="0"/>
          </reference>
        </references>
      </pivotArea>
    </format>
    <format dxfId="2724">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2725">
      <pivotArea outline="0" fieldPosition="0">
        <references count="4">
          <reference field="4294967294" count="1" selected="0">
            <x v="10"/>
          </reference>
          <reference field="0" count="1" selected="0">
            <x v="3"/>
          </reference>
          <reference field="4" count="1" selected="0">
            <x v="10"/>
          </reference>
          <reference field="70" count="1" selected="0">
            <x v="1"/>
          </reference>
        </references>
      </pivotArea>
    </format>
    <format dxfId="2726">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2727">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2728">
      <pivotArea outline="0" fieldPosition="0">
        <references count="4">
          <reference field="4294967294" count="1" selected="0">
            <x v="8"/>
          </reference>
          <reference field="0" count="1" selected="0">
            <x v="5"/>
          </reference>
          <reference field="4" count="1" selected="0">
            <x v="3"/>
          </reference>
          <reference field="70" count="1" selected="0">
            <x v="0"/>
          </reference>
        </references>
      </pivotArea>
    </format>
    <format dxfId="2729">
      <pivotArea outline="0" fieldPosition="0">
        <references count="4">
          <reference field="4294967294" count="1" selected="0">
            <x v="11"/>
          </reference>
          <reference field="0" count="1" selected="0">
            <x v="5"/>
          </reference>
          <reference field="4" count="1" selected="0">
            <x v="3"/>
          </reference>
          <reference field="70" count="1" selected="0">
            <x v="0"/>
          </reference>
        </references>
      </pivotArea>
    </format>
    <format dxfId="2730">
      <pivotArea outline="0" fieldPosition="0">
        <references count="4">
          <reference field="4294967294" count="1" selected="0">
            <x v="2"/>
          </reference>
          <reference field="0" count="1" selected="0">
            <x v="5"/>
          </reference>
          <reference field="4" count="1" selected="0">
            <x v="3"/>
          </reference>
          <reference field="70" count="1" selected="0">
            <x v="0"/>
          </reference>
        </references>
      </pivotArea>
    </format>
    <format dxfId="2731">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2732">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2733">
      <pivotArea outline="0" fieldPosition="0">
        <references count="4">
          <reference field="4294967294" count="1" selected="0">
            <x v="2"/>
          </reference>
          <reference field="0" count="1" selected="0">
            <x v="5"/>
          </reference>
          <reference field="4" count="1" selected="0">
            <x v="8"/>
          </reference>
          <reference field="70" count="1" selected="0">
            <x v="1"/>
          </reference>
        </references>
      </pivotArea>
    </format>
    <format dxfId="2734">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2735">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2736">
      <pivotArea outline="0" fieldPosition="0">
        <references count="4">
          <reference field="4294967294" count="1" selected="0">
            <x v="20"/>
          </reference>
          <reference field="0" count="1" selected="0">
            <x v="7"/>
          </reference>
          <reference field="4" count="1" selected="0">
            <x v="4"/>
          </reference>
          <reference field="70" count="1" selected="0">
            <x v="0"/>
          </reference>
        </references>
      </pivotArea>
    </format>
    <format dxfId="2737">
      <pivotArea outline="0" fieldPosition="0">
        <references count="4">
          <reference field="4294967294" count="1" selected="0">
            <x v="23"/>
          </reference>
          <reference field="0" count="1" selected="0">
            <x v="7"/>
          </reference>
          <reference field="4" count="1" selected="0">
            <x v="4"/>
          </reference>
          <reference field="70" count="1" selected="0">
            <x v="0"/>
          </reference>
        </references>
      </pivotArea>
    </format>
    <format dxfId="2738">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2739">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2740">
      <pivotArea outline="0" fieldPosition="0">
        <references count="4">
          <reference field="4294967294" count="1" selected="0">
            <x v="4"/>
          </reference>
          <reference field="0" count="1" selected="0">
            <x v="8"/>
          </reference>
          <reference field="4" count="1" selected="0">
            <x v="4"/>
          </reference>
          <reference field="70" count="1" selected="0">
            <x v="0"/>
          </reference>
        </references>
      </pivotArea>
    </format>
    <format dxfId="2741">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2742">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2743">
      <pivotArea outline="0" fieldPosition="0">
        <references count="4">
          <reference field="4294967294" count="1" selected="0">
            <x v="10"/>
          </reference>
          <reference field="0" count="1" selected="0">
            <x v="9"/>
          </reference>
          <reference field="4" count="1" selected="0">
            <x v="3"/>
          </reference>
          <reference field="70" count="1" selected="0">
            <x v="0"/>
          </reference>
        </references>
      </pivotArea>
    </format>
    <format dxfId="2744">
      <pivotArea outline="0" fieldPosition="0">
        <references count="4">
          <reference field="4294967294" count="1" selected="0">
            <x v="20"/>
          </reference>
          <reference field="0" count="1" selected="0">
            <x v="9"/>
          </reference>
          <reference field="4" count="1" selected="0">
            <x v="5"/>
          </reference>
          <reference field="70" count="1" selected="0">
            <x v="0"/>
          </reference>
        </references>
      </pivotArea>
    </format>
    <format dxfId="2745">
      <pivotArea outline="0" fieldPosition="0">
        <references count="4">
          <reference field="4294967294" count="1" selected="0">
            <x v="23"/>
          </reference>
          <reference field="0" count="1" selected="0">
            <x v="9"/>
          </reference>
          <reference field="4" count="1" selected="0">
            <x v="5"/>
          </reference>
          <reference field="70" count="1" selected="0">
            <x v="0"/>
          </reference>
        </references>
      </pivotArea>
    </format>
    <format dxfId="2746">
      <pivotArea outline="0" fieldPosition="0">
        <references count="4">
          <reference field="4294967294" count="1" selected="0">
            <x v="26"/>
          </reference>
          <reference field="0" count="1" selected="0">
            <x v="9"/>
          </reference>
          <reference field="4" count="1" selected="0">
            <x v="5"/>
          </reference>
          <reference field="70" count="1" selected="0">
            <x v="0"/>
          </reference>
        </references>
      </pivotArea>
    </format>
    <format dxfId="2747">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2748">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2749">
      <pivotArea outline="0" fieldPosition="0">
        <references count="4">
          <reference field="4294967294" count="1" selected="0">
            <x v="22"/>
          </reference>
          <reference field="0" count="1" selected="0">
            <x v="9"/>
          </reference>
          <reference field="4" count="1" selected="0">
            <x v="5"/>
          </reference>
          <reference field="70" count="1" selected="0">
            <x v="0"/>
          </reference>
        </references>
      </pivotArea>
    </format>
    <format dxfId="2750">
      <pivotArea outline="0" fieldPosition="0">
        <references count="4">
          <reference field="4294967294" count="1" selected="0">
            <x v="13"/>
          </reference>
          <reference field="0" count="1" selected="0">
            <x v="10"/>
          </reference>
          <reference field="4" count="1" selected="0">
            <x v="3"/>
          </reference>
          <reference field="70" count="1" selected="0">
            <x v="0"/>
          </reference>
        </references>
      </pivotArea>
    </format>
    <format dxfId="2751">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2752">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2753">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2754">
      <pivotArea outline="0" fieldPosition="0">
        <references count="4">
          <reference field="4294967294" count="1" selected="0">
            <x v="29"/>
          </reference>
          <reference field="0" count="1" selected="0">
            <x v="10"/>
          </reference>
          <reference field="4" count="1" selected="0">
            <x v="0"/>
          </reference>
          <reference field="70" count="1" selected="0">
            <x v="0"/>
          </reference>
        </references>
      </pivotArea>
    </format>
    <format dxfId="2755">
      <pivotArea outline="0" fieldPosition="0">
        <references count="4">
          <reference field="4294967294" count="1" selected="0">
            <x v="26"/>
          </reference>
          <reference field="0" count="1" selected="0">
            <x v="10"/>
          </reference>
          <reference field="4" count="1" selected="0">
            <x v="4"/>
          </reference>
          <reference field="70" count="1" selected="0">
            <x v="0"/>
          </reference>
        </references>
      </pivotArea>
    </format>
    <format dxfId="2756">
      <pivotArea outline="0" fieldPosition="0">
        <references count="4">
          <reference field="4294967294" count="1" selected="0">
            <x v="2"/>
          </reference>
          <reference field="0" count="1" selected="0">
            <x v="11"/>
          </reference>
          <reference field="4" count="1" selected="0">
            <x v="0"/>
          </reference>
          <reference field="70" count="1" selected="0">
            <x v="0"/>
          </reference>
        </references>
      </pivotArea>
    </format>
    <format dxfId="2757">
      <pivotArea outline="0" fieldPosition="0">
        <references count="4">
          <reference field="4294967294" count="1" selected="0">
            <x v="2"/>
          </reference>
          <reference field="0" count="1" selected="0">
            <x v="11"/>
          </reference>
          <reference field="4" count="1" selected="0">
            <x v="8"/>
          </reference>
          <reference field="70" count="1" selected="0">
            <x v="1"/>
          </reference>
        </references>
      </pivotArea>
    </format>
    <format dxfId="2758">
      <pivotArea outline="0" fieldPosition="0">
        <references count="4">
          <reference field="4294967294" count="1" selected="0">
            <x v="2"/>
          </reference>
          <reference field="0" count="1" selected="0">
            <x v="11"/>
          </reference>
          <reference field="4" count="2" selected="0">
            <x v="9"/>
            <x v="10"/>
          </reference>
          <reference field="70" count="1" selected="0">
            <x v="1"/>
          </reference>
        </references>
      </pivotArea>
    </format>
    <format dxfId="2759">
      <pivotArea outline="0" fieldPosition="0">
        <references count="4">
          <reference field="4294967294" count="1" selected="0">
            <x v="8"/>
          </reference>
          <reference field="0" count="1" selected="0">
            <x v="11"/>
          </reference>
          <reference field="4" count="1" selected="0">
            <x v="8"/>
          </reference>
          <reference field="70" count="1" selected="0">
            <x v="1"/>
          </reference>
        </references>
      </pivotArea>
    </format>
    <format dxfId="2760">
      <pivotArea outline="0" fieldPosition="0">
        <references count="4">
          <reference field="4294967294" count="1" selected="0">
            <x v="20"/>
          </reference>
          <reference field="0" count="1" selected="0">
            <x v="11"/>
          </reference>
          <reference field="4" count="1" selected="0">
            <x v="2"/>
          </reference>
          <reference field="70" count="1" selected="0">
            <x v="0"/>
          </reference>
        </references>
      </pivotArea>
    </format>
    <format dxfId="2761">
      <pivotArea outline="0" fieldPosition="0">
        <references count="4">
          <reference field="4294967294" count="1" selected="0">
            <x v="23"/>
          </reference>
          <reference field="0" count="1" selected="0">
            <x v="11"/>
          </reference>
          <reference field="4" count="1" selected="0">
            <x v="2"/>
          </reference>
          <reference field="70" count="1" selected="0">
            <x v="0"/>
          </reference>
        </references>
      </pivotArea>
    </format>
    <format dxfId="2762">
      <pivotArea outline="0" fieldPosition="0">
        <references count="4">
          <reference field="4294967294" count="1" selected="0">
            <x v="23"/>
          </reference>
          <reference field="0" count="1" selected="0">
            <x v="11"/>
          </reference>
          <reference field="4" count="1" selected="0">
            <x v="4"/>
          </reference>
          <reference field="70" count="1" selected="0">
            <x v="0"/>
          </reference>
        </references>
      </pivotArea>
    </format>
    <format dxfId="2763">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2764">
      <pivotArea outline="0" fieldPosition="0">
        <references count="4">
          <reference field="4294967294" count="1" selected="0">
            <x v="23"/>
          </reference>
          <reference field="0" count="1" selected="0">
            <x v="11"/>
          </reference>
          <reference field="4" count="1" selected="0">
            <x v="5"/>
          </reference>
          <reference field="70" count="1" selected="0">
            <x v="0"/>
          </reference>
        </references>
      </pivotArea>
    </format>
    <format dxfId="2765">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2766">
      <pivotArea outline="0" fieldPosition="0">
        <references count="4">
          <reference field="4294967294" count="1" selected="0">
            <x v="20"/>
          </reference>
          <reference field="0" count="1" selected="0">
            <x v="12"/>
          </reference>
          <reference field="4" count="1" selected="0">
            <x v="4"/>
          </reference>
          <reference field="70" count="1" selected="0">
            <x v="0"/>
          </reference>
        </references>
      </pivotArea>
    </format>
    <format dxfId="2767">
      <pivotArea outline="0" fieldPosition="0">
        <references count="4">
          <reference field="4294967294" count="1" selected="0">
            <x v="26"/>
          </reference>
          <reference field="0" count="1" selected="0">
            <x v="12"/>
          </reference>
          <reference field="4" count="1" selected="0">
            <x v="4"/>
          </reference>
          <reference field="70" count="1" selected="0">
            <x v="0"/>
          </reference>
        </references>
      </pivotArea>
    </format>
    <format dxfId="2768">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2769">
      <pivotArea outline="0" fieldPosition="0">
        <references count="4">
          <reference field="4294967294" count="1" selected="0">
            <x v="20"/>
          </reference>
          <reference field="0" count="1" selected="0">
            <x v="13"/>
          </reference>
          <reference field="4" count="1" selected="0">
            <x v="4"/>
          </reference>
          <reference field="70" count="1" selected="0">
            <x v="0"/>
          </reference>
        </references>
      </pivotArea>
    </format>
    <format dxfId="2770">
      <pivotArea outline="0" fieldPosition="0">
        <references count="4">
          <reference field="4294967294" count="1" selected="0">
            <x v="26"/>
          </reference>
          <reference field="0" count="1" selected="0">
            <x v="13"/>
          </reference>
          <reference field="4" count="1" selected="0">
            <x v="4"/>
          </reference>
          <reference field="70" count="1" selected="0">
            <x v="0"/>
          </reference>
        </references>
      </pivotArea>
    </format>
    <format dxfId="2771">
      <pivotArea outline="0" fieldPosition="0">
        <references count="4">
          <reference field="4294967294" count="1" selected="0">
            <x v="28"/>
          </reference>
          <reference field="0" count="1" selected="0">
            <x v="13"/>
          </reference>
          <reference field="4" count="1" selected="0">
            <x v="5"/>
          </reference>
          <reference field="70" count="1" selected="0">
            <x v="0"/>
          </reference>
        </references>
      </pivotArea>
    </format>
    <format dxfId="2772">
      <pivotArea outline="0" fieldPosition="0">
        <references count="4">
          <reference field="4294967294" count="1" selected="0">
            <x v="31"/>
          </reference>
          <reference field="0" count="1" selected="0">
            <x v="13"/>
          </reference>
          <reference field="4" count="1" selected="0">
            <x v="4"/>
          </reference>
          <reference field="70" count="1" selected="0">
            <x v="0"/>
          </reference>
        </references>
      </pivotArea>
    </format>
    <format dxfId="2773">
      <pivotArea outline="0" fieldPosition="0">
        <references count="4">
          <reference field="4294967294" count="1" selected="0">
            <x v="2"/>
          </reference>
          <reference field="0" count="1" selected="0">
            <x v="14"/>
          </reference>
          <reference field="4" count="1" selected="0">
            <x v="5"/>
          </reference>
          <reference field="70" count="1" selected="0">
            <x v="0"/>
          </reference>
        </references>
      </pivotArea>
    </format>
    <format dxfId="2774">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2775">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2776">
      <pivotArea outline="0" fieldPosition="0">
        <references count="4">
          <reference field="4294967294" count="1" selected="0">
            <x v="26"/>
          </reference>
          <reference field="0" count="1" selected="0">
            <x v="14"/>
          </reference>
          <reference field="4" count="1" selected="0">
            <x v="2"/>
          </reference>
          <reference field="70" count="1" selected="0">
            <x v="0"/>
          </reference>
        </references>
      </pivotArea>
    </format>
    <format dxfId="2777">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2778">
      <pivotArea outline="0" fieldPosition="0">
        <references count="4">
          <reference field="4294967294" count="1" selected="0">
            <x v="2"/>
          </reference>
          <reference field="0" count="1" selected="0">
            <x v="15"/>
          </reference>
          <reference field="4" count="1" selected="0">
            <x v="7"/>
          </reference>
          <reference field="70" count="1" selected="0">
            <x v="1"/>
          </reference>
        </references>
      </pivotArea>
    </format>
    <format dxfId="2779">
      <pivotArea outline="0" fieldPosition="0">
        <references count="4">
          <reference field="4294967294" count="1" selected="0">
            <x v="8"/>
          </reference>
          <reference field="0" count="1" selected="0">
            <x v="15"/>
          </reference>
          <reference field="4" count="1" selected="0">
            <x v="7"/>
          </reference>
          <reference field="70" count="1" selected="0">
            <x v="1"/>
          </reference>
        </references>
      </pivotArea>
    </format>
    <format dxfId="2780">
      <pivotArea outline="0" fieldPosition="0">
        <references count="4">
          <reference field="4294967294" count="1" selected="0">
            <x v="23"/>
          </reference>
          <reference field="0" count="1" selected="0">
            <x v="15"/>
          </reference>
          <reference field="4" count="1" selected="0">
            <x v="2"/>
          </reference>
          <reference field="70" count="1" selected="0">
            <x v="0"/>
          </reference>
        </references>
      </pivotArea>
    </format>
    <format dxfId="2781">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2782">
      <pivotArea outline="0" fieldPosition="0">
        <references count="4">
          <reference field="4294967294" count="1" selected="0">
            <x v="20"/>
          </reference>
          <reference field="0" count="1" selected="0">
            <x v="15"/>
          </reference>
          <reference field="4" count="1" selected="0">
            <x v="4"/>
          </reference>
          <reference field="70" count="1" selected="0">
            <x v="0"/>
          </reference>
        </references>
      </pivotArea>
    </format>
    <format dxfId="2783">
      <pivotArea outline="0" fieldPosition="0">
        <references count="4">
          <reference field="4294967294" count="1" selected="0">
            <x v="26"/>
          </reference>
          <reference field="0" count="1" selected="0">
            <x v="15"/>
          </reference>
          <reference field="4" count="1" selected="0">
            <x v="4"/>
          </reference>
          <reference field="70" count="1" selected="0">
            <x v="0"/>
          </reference>
        </references>
      </pivotArea>
    </format>
    <format dxfId="2784">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2785">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2786">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2787">
      <pivotArea outline="0" fieldPosition="0">
        <references count="4">
          <reference field="4294967294" count="7" selected="0">
            <x v="20"/>
            <x v="21"/>
            <x v="22"/>
            <x v="23"/>
            <x v="24"/>
            <x v="25"/>
            <x v="26"/>
          </reference>
          <reference field="0" count="1" selected="0">
            <x v="2"/>
          </reference>
          <reference field="4" count="1" selected="0">
            <x v="2"/>
          </reference>
          <reference field="70" count="1" selected="0">
            <x v="0"/>
          </reference>
        </references>
      </pivotArea>
    </format>
    <format dxfId="2788">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2789">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2790">
      <pivotArea outline="0" fieldPosition="0">
        <references count="4">
          <reference field="4294967294" count="1" selected="0">
            <x v="2"/>
          </reference>
          <reference field="0" count="1" selected="0">
            <x v="0"/>
          </reference>
          <reference field="4" count="1" selected="0">
            <x v="12"/>
          </reference>
          <reference field="70" count="1" selected="0">
            <x v="2"/>
          </reference>
        </references>
      </pivotArea>
    </format>
    <format dxfId="2791">
      <pivotArea outline="0" fieldPosition="0">
        <references count="4">
          <reference field="4294967294" count="2" selected="0">
            <x v="7"/>
            <x v="8"/>
          </reference>
          <reference field="0" count="1" selected="0">
            <x v="0"/>
          </reference>
          <reference field="4" count="1" selected="0">
            <x v="12"/>
          </reference>
          <reference field="70" count="1" selected="0">
            <x v="2"/>
          </reference>
        </references>
      </pivotArea>
    </format>
    <format dxfId="2792">
      <pivotArea outline="0" fieldPosition="0">
        <references count="4">
          <reference field="4294967294" count="1" selected="0">
            <x v="10"/>
          </reference>
          <reference field="0" count="1" selected="0">
            <x v="0"/>
          </reference>
          <reference field="4" count="1" selected="0">
            <x v="0"/>
          </reference>
          <reference field="70" count="1" selected="0">
            <x v="0"/>
          </reference>
        </references>
      </pivotArea>
    </format>
    <format dxfId="2793">
      <pivotArea outline="0" fieldPosition="0">
        <references count="4">
          <reference field="4294967294" count="1" selected="0">
            <x v="13"/>
          </reference>
          <reference field="0" count="1" selected="0">
            <x v="0"/>
          </reference>
          <reference field="4" count="1" selected="0">
            <x v="10"/>
          </reference>
          <reference field="70" count="1" selected="0">
            <x v="1"/>
          </reference>
        </references>
      </pivotArea>
    </format>
    <format dxfId="2794">
      <pivotArea outline="0" fieldPosition="0">
        <references count="4">
          <reference field="4294967294" count="2" selected="0">
            <x v="22"/>
            <x v="23"/>
          </reference>
          <reference field="0" count="1" selected="0">
            <x v="0"/>
          </reference>
          <reference field="4" count="1" selected="0">
            <x v="3"/>
          </reference>
          <reference field="70" count="1" selected="0">
            <x v="0"/>
          </reference>
        </references>
      </pivotArea>
    </format>
    <format dxfId="2795">
      <pivotArea outline="0" fieldPosition="0">
        <references count="4">
          <reference field="4294967294" count="2" selected="0">
            <x v="22"/>
            <x v="23"/>
          </reference>
          <reference field="0" count="1" selected="0">
            <x v="0"/>
          </reference>
          <reference field="4" count="1" selected="0">
            <x v="4"/>
          </reference>
          <reference field="70" count="1" selected="0">
            <x v="0"/>
          </reference>
        </references>
      </pivotArea>
    </format>
    <format dxfId="2796">
      <pivotArea outline="0" fieldPosition="0">
        <references count="4">
          <reference field="4294967294" count="1" selected="0">
            <x v="2"/>
          </reference>
          <reference field="0" count="1" selected="0">
            <x v="1"/>
          </reference>
          <reference field="4" count="1" selected="0">
            <x v="9"/>
          </reference>
          <reference field="70" count="1" selected="0">
            <x v="1"/>
          </reference>
        </references>
      </pivotArea>
    </format>
    <format dxfId="2797">
      <pivotArea outline="0" fieldPosition="0">
        <references count="4">
          <reference field="4294967294" count="2" selected="0">
            <x v="10"/>
            <x v="11"/>
          </reference>
          <reference field="0" count="1" selected="0">
            <x v="1"/>
          </reference>
          <reference field="4" count="1" selected="0">
            <x v="4"/>
          </reference>
          <reference field="70" count="1" selected="0">
            <x v="0"/>
          </reference>
        </references>
      </pivotArea>
    </format>
    <format dxfId="2798">
      <pivotArea outline="0" fieldPosition="0">
        <references count="4">
          <reference field="4294967294" count="2" selected="0">
            <x v="10"/>
            <x v="11"/>
          </reference>
          <reference field="0" count="1" selected="0">
            <x v="1"/>
          </reference>
          <reference field="4" count="1" selected="0">
            <x v="5"/>
          </reference>
          <reference field="70" count="1" selected="0">
            <x v="0"/>
          </reference>
        </references>
      </pivotArea>
    </format>
    <format dxfId="2799">
      <pivotArea outline="0" fieldPosition="0">
        <references count="4">
          <reference field="4294967294" count="1" selected="0">
            <x v="23"/>
          </reference>
          <reference field="0" count="1" selected="0">
            <x v="1"/>
          </reference>
          <reference field="4" count="1" selected="0">
            <x v="3"/>
          </reference>
          <reference field="70" count="1" selected="0">
            <x v="0"/>
          </reference>
        </references>
      </pivotArea>
    </format>
    <format dxfId="2800">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2801">
      <pivotArea outline="0" fieldPosition="0">
        <references count="4">
          <reference field="4294967294" count="1" selected="0">
            <x v="28"/>
          </reference>
          <reference field="0" count="1" selected="0">
            <x v="1"/>
          </reference>
          <reference field="4" count="1" selected="0">
            <x v="3"/>
          </reference>
          <reference field="70" count="1" selected="0">
            <x v="0"/>
          </reference>
        </references>
      </pivotArea>
    </format>
    <format dxfId="2802">
      <pivotArea outline="0" fieldPosition="0">
        <references count="4">
          <reference field="4294967294" count="2" selected="0">
            <x v="4"/>
            <x v="5"/>
          </reference>
          <reference field="0" count="1" selected="0">
            <x v="3"/>
          </reference>
          <reference field="4" count="1" selected="0">
            <x v="3"/>
          </reference>
          <reference field="70" count="1" selected="0">
            <x v="0"/>
          </reference>
        </references>
      </pivotArea>
    </format>
    <format dxfId="2803">
      <pivotArea outline="0" fieldPosition="0">
        <references count="4">
          <reference field="4294967294" count="1" selected="0">
            <x v="8"/>
          </reference>
          <reference field="0" count="1" selected="0">
            <x v="3"/>
          </reference>
          <reference field="4" count="1" selected="0">
            <x v="3"/>
          </reference>
          <reference field="70" count="1" selected="0">
            <x v="0"/>
          </reference>
        </references>
      </pivotArea>
    </format>
    <format dxfId="2804">
      <pivotArea outline="0" fieldPosition="0">
        <references count="4">
          <reference field="4294967294" count="2" selected="0">
            <x v="10"/>
            <x v="11"/>
          </reference>
          <reference field="0" count="1" selected="0">
            <x v="3"/>
          </reference>
          <reference field="4" count="1" selected="0">
            <x v="2"/>
          </reference>
          <reference field="70" count="1" selected="0">
            <x v="0"/>
          </reference>
        </references>
      </pivotArea>
    </format>
    <format dxfId="2805">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2806">
      <pivotArea outline="0" fieldPosition="0">
        <references count="4">
          <reference field="4294967294" count="1" selected="0">
            <x v="26"/>
          </reference>
          <reference field="0" count="1" selected="0">
            <x v="3"/>
          </reference>
          <reference field="4" count="1" selected="0">
            <x v="2"/>
          </reference>
          <reference field="70" count="1" selected="0">
            <x v="0"/>
          </reference>
        </references>
      </pivotArea>
    </format>
    <format dxfId="2807">
      <pivotArea outline="0" fieldPosition="0">
        <references count="4">
          <reference field="4294967294" count="1" selected="0">
            <x v="26"/>
          </reference>
          <reference field="0" count="1" selected="0">
            <x v="3"/>
          </reference>
          <reference field="4" count="1" selected="0">
            <x v="3"/>
          </reference>
          <reference field="70" count="1" selected="0">
            <x v="0"/>
          </reference>
        </references>
      </pivotArea>
    </format>
    <format dxfId="2808">
      <pivotArea outline="0" fieldPosition="0">
        <references count="4">
          <reference field="4294967294" count="2" selected="0">
            <x v="28"/>
            <x v="29"/>
          </reference>
          <reference field="0" count="1" selected="0">
            <x v="3"/>
          </reference>
          <reference field="4" count="1" selected="0">
            <x v="2"/>
          </reference>
          <reference field="70" count="1" selected="0">
            <x v="0"/>
          </reference>
        </references>
      </pivotArea>
    </format>
    <format dxfId="2809">
      <pivotArea outline="0" fieldPosition="0">
        <references count="4">
          <reference field="4294967294" count="1" selected="0">
            <x v="10"/>
          </reference>
          <reference field="0" count="1" selected="0">
            <x v="4"/>
          </reference>
          <reference field="4" count="1" selected="0">
            <x v="5"/>
          </reference>
          <reference field="70" count="1" selected="0">
            <x v="0"/>
          </reference>
        </references>
      </pivotArea>
    </format>
    <format dxfId="2810">
      <pivotArea outline="0" fieldPosition="0">
        <references count="4">
          <reference field="4294967294" count="1" selected="0">
            <x v="8"/>
          </reference>
          <reference field="0" count="1" selected="0">
            <x v="4"/>
          </reference>
          <reference field="4" count="2" selected="0">
            <x v="7"/>
            <x v="8"/>
          </reference>
          <reference field="70" count="1" selected="0">
            <x v="1"/>
          </reference>
        </references>
      </pivotArea>
    </format>
    <format dxfId="2811">
      <pivotArea outline="0" fieldPosition="0">
        <references count="4">
          <reference field="4294967294" count="2" selected="0">
            <x v="13"/>
            <x v="14"/>
          </reference>
          <reference field="0" count="1" selected="0">
            <x v="4"/>
          </reference>
          <reference field="4" count="1" selected="0">
            <x v="8"/>
          </reference>
          <reference field="70" count="1" selected="0">
            <x v="1"/>
          </reference>
        </references>
      </pivotArea>
    </format>
    <format dxfId="2812">
      <pivotArea outline="0" fieldPosition="0">
        <references count="4">
          <reference field="4294967294" count="2" selected="0">
            <x v="10"/>
            <x v="11"/>
          </reference>
          <reference field="0" count="1" selected="0">
            <x v="4"/>
          </reference>
          <reference field="4" count="1" selected="0">
            <x v="9"/>
          </reference>
          <reference field="70" count="1" selected="0">
            <x v="1"/>
          </reference>
        </references>
      </pivotArea>
    </format>
    <format dxfId="2813">
      <pivotArea outline="0" fieldPosition="0">
        <references count="4">
          <reference field="4294967294" count="1" selected="0">
            <x v="20"/>
          </reference>
          <reference field="0" count="1" selected="0">
            <x v="4"/>
          </reference>
          <reference field="4" count="1" selected="0">
            <x v="1"/>
          </reference>
          <reference field="70" count="1" selected="0">
            <x v="0"/>
          </reference>
        </references>
      </pivotArea>
    </format>
    <format dxfId="2814">
      <pivotArea outline="0" fieldPosition="0">
        <references count="4">
          <reference field="4294967294" count="1" selected="0">
            <x v="26"/>
          </reference>
          <reference field="0" count="1" selected="0">
            <x v="4"/>
          </reference>
          <reference field="4" count="1" selected="0">
            <x v="1"/>
          </reference>
          <reference field="70" count="1" selected="0">
            <x v="0"/>
          </reference>
        </references>
      </pivotArea>
    </format>
    <format dxfId="2815">
      <pivotArea outline="0" fieldPosition="0">
        <references count="4">
          <reference field="4294967294" count="1" selected="0">
            <x v="23"/>
          </reference>
          <reference field="0" count="1" selected="0">
            <x v="4"/>
          </reference>
          <reference field="4" count="1" selected="0">
            <x v="4"/>
          </reference>
          <reference field="70" count="1" selected="0">
            <x v="0"/>
          </reference>
        </references>
      </pivotArea>
    </format>
    <format dxfId="2816">
      <pivotArea outline="0" fieldPosition="0">
        <references count="4">
          <reference field="4294967294" count="1" selected="0">
            <x v="26"/>
          </reference>
          <reference field="0" count="1" selected="0">
            <x v="4"/>
          </reference>
          <reference field="4" count="1" selected="0">
            <x v="4"/>
          </reference>
          <reference field="70" count="1" selected="0">
            <x v="0"/>
          </reference>
        </references>
      </pivotArea>
    </format>
    <format dxfId="2817">
      <pivotArea outline="0" fieldPosition="0">
        <references count="4">
          <reference field="4294967294" count="1" selected="0">
            <x v="2"/>
          </reference>
          <reference field="0" count="1" selected="0">
            <x v="5"/>
          </reference>
          <reference field="4" count="3" selected="0">
            <x v="8"/>
            <x v="9"/>
            <x v="10"/>
          </reference>
          <reference field="70" count="1" selected="0">
            <x v="1"/>
          </reference>
        </references>
      </pivotArea>
    </format>
    <format dxfId="2818">
      <pivotArea outline="0" fieldPosition="0">
        <references count="4">
          <reference field="4294967294" count="1" selected="0">
            <x v="5"/>
          </reference>
          <reference field="0" count="1" selected="0">
            <x v="5"/>
          </reference>
          <reference field="4" count="3" selected="0">
            <x v="8"/>
            <x v="9"/>
            <x v="10"/>
          </reference>
          <reference field="70" count="1" selected="0">
            <x v="1"/>
          </reference>
        </references>
      </pivotArea>
    </format>
    <format dxfId="2819">
      <pivotArea outline="0" fieldPosition="0">
        <references count="4">
          <reference field="4294967294" count="1" selected="0">
            <x v="8"/>
          </reference>
          <reference field="0" count="1" selected="0">
            <x v="5"/>
          </reference>
          <reference field="4" count="3" selected="0">
            <x v="8"/>
            <x v="9"/>
            <x v="10"/>
          </reference>
          <reference field="70" count="1" selected="0">
            <x v="1"/>
          </reference>
        </references>
      </pivotArea>
    </format>
    <format dxfId="2820">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2821">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2822">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2823">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2824">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2825">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2826">
      <pivotArea outline="0" fieldPosition="0">
        <references count="4">
          <reference field="4294967294" count="1" selected="0">
            <x v="26"/>
          </reference>
          <reference field="0" count="1" selected="0">
            <x v="7"/>
          </reference>
          <reference field="4" count="1" selected="0">
            <x v="2"/>
          </reference>
          <reference field="70" count="1" selected="0">
            <x v="0"/>
          </reference>
        </references>
      </pivotArea>
    </format>
    <format dxfId="2827">
      <pivotArea outline="0" fieldPosition="0">
        <references count="4">
          <reference field="4294967294" count="1" selected="0">
            <x v="20"/>
          </reference>
          <reference field="0" count="1" selected="0">
            <x v="8"/>
          </reference>
          <reference field="4" count="2" selected="0">
            <x v="3"/>
            <x v="4"/>
          </reference>
          <reference field="70" count="1" selected="0">
            <x v="0"/>
          </reference>
        </references>
      </pivotArea>
    </format>
    <format dxfId="2828">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2829">
      <pivotArea outline="0" fieldPosition="0">
        <references count="4">
          <reference field="4294967294" count="1" selected="0">
            <x v="34"/>
          </reference>
          <reference field="0" count="1" selected="0">
            <x v="8"/>
          </reference>
          <reference field="4" count="1" selected="0">
            <x v="0"/>
          </reference>
          <reference field="70" count="1" selected="0">
            <x v="0"/>
          </reference>
        </references>
      </pivotArea>
    </format>
    <format dxfId="2830">
      <pivotArea outline="0" fieldPosition="0">
        <references count="4">
          <reference field="4294967294" count="1" selected="0">
            <x v="2"/>
          </reference>
          <reference field="0" count="1" selected="0">
            <x v="9"/>
          </reference>
          <reference field="4" count="1" selected="0">
            <x v="3"/>
          </reference>
          <reference field="70" count="1" selected="0">
            <x v="0"/>
          </reference>
        </references>
      </pivotArea>
    </format>
    <format dxfId="2831">
      <pivotArea outline="0" fieldPosition="0">
        <references count="4">
          <reference field="4294967294" count="1" selected="0">
            <x v="8"/>
          </reference>
          <reference field="0" count="1" selected="0">
            <x v="9"/>
          </reference>
          <reference field="4" count="1" selected="0">
            <x v="3"/>
          </reference>
          <reference field="70" count="1" selected="0">
            <x v="0"/>
          </reference>
        </references>
      </pivotArea>
    </format>
    <format dxfId="2832">
      <pivotArea outline="0" fieldPosition="0">
        <references count="4">
          <reference field="4294967294" count="1" selected="0">
            <x v="2"/>
          </reference>
          <reference field="0" count="1" selected="0">
            <x v="9"/>
          </reference>
          <reference field="4" count="1" selected="0">
            <x v="8"/>
          </reference>
          <reference field="70" count="1" selected="0">
            <x v="1"/>
          </reference>
        </references>
      </pivotArea>
    </format>
    <format dxfId="2833">
      <pivotArea outline="0" fieldPosition="0">
        <references count="4">
          <reference field="4294967294" count="1" selected="0">
            <x v="8"/>
          </reference>
          <reference field="0" count="1" selected="0">
            <x v="9"/>
          </reference>
          <reference field="4" count="1" selected="0">
            <x v="8"/>
          </reference>
          <reference field="70" count="1" selected="0">
            <x v="1"/>
          </reference>
        </references>
      </pivotArea>
    </format>
    <format dxfId="2834">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2835">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2836">
      <pivotArea outline="0" fieldPosition="0">
        <references count="4">
          <reference field="4294967294" count="1" selected="0">
            <x v="2"/>
          </reference>
          <reference field="0" count="1" selected="0">
            <x v="10"/>
          </reference>
          <reference field="4" count="1" selected="0">
            <x v="2"/>
          </reference>
          <reference field="70" count="1" selected="0">
            <x v="0"/>
          </reference>
        </references>
      </pivotArea>
    </format>
    <format dxfId="2837">
      <pivotArea outline="0" fieldPosition="0">
        <references count="4">
          <reference field="4294967294" count="1" selected="0">
            <x v="5"/>
          </reference>
          <reference field="0" count="1" selected="0">
            <x v="10"/>
          </reference>
          <reference field="4" count="1" selected="0">
            <x v="2"/>
          </reference>
          <reference field="70" count="1" selected="0">
            <x v="0"/>
          </reference>
        </references>
      </pivotArea>
    </format>
    <format dxfId="2838">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2839">
      <pivotArea outline="0" fieldPosition="0">
        <references count="4">
          <reference field="4294967294" count="1" selected="0">
            <x v="20"/>
          </reference>
          <reference field="0" count="1" selected="0">
            <x v="10"/>
          </reference>
          <reference field="4" count="1" selected="0">
            <x v="2"/>
          </reference>
          <reference field="70" count="1" selected="0">
            <x v="0"/>
          </reference>
        </references>
      </pivotArea>
    </format>
    <format dxfId="2840">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2841">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2842">
      <pivotArea outline="0" fieldPosition="0">
        <references count="4">
          <reference field="4294967294" count="1" selected="0">
            <x v="23"/>
          </reference>
          <reference field="0" count="1" selected="0">
            <x v="10"/>
          </reference>
          <reference field="4" count="1" selected="0">
            <x v="2"/>
          </reference>
          <reference field="70" count="1" selected="0">
            <x v="0"/>
          </reference>
        </references>
      </pivotArea>
    </format>
    <format dxfId="2843">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2844">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2845">
      <pivotArea outline="0" fieldPosition="0">
        <references count="4">
          <reference field="4294967294" count="2" selected="0">
            <x v="10"/>
            <x v="11"/>
          </reference>
          <reference field="0" count="1" selected="0">
            <x v="11"/>
          </reference>
          <reference field="4" count="1" selected="0">
            <x v="0"/>
          </reference>
          <reference field="70" count="1" selected="0">
            <x v="0"/>
          </reference>
        </references>
      </pivotArea>
    </format>
    <format dxfId="2846">
      <pivotArea outline="0" fieldPosition="0">
        <references count="4">
          <reference field="4294967294" count="2" selected="0">
            <x v="10"/>
            <x v="11"/>
          </reference>
          <reference field="0" count="1" selected="0">
            <x v="11"/>
          </reference>
          <reference field="4" count="1" selected="0">
            <x v="5"/>
          </reference>
          <reference field="70" count="1" selected="0">
            <x v="0"/>
          </reference>
        </references>
      </pivotArea>
    </format>
    <format dxfId="2847">
      <pivotArea outline="0" fieldPosition="0">
        <references count="4">
          <reference field="4294967294" count="2" selected="0">
            <x v="13"/>
            <x v="14"/>
          </reference>
          <reference field="0" count="1" selected="0">
            <x v="11"/>
          </reference>
          <reference field="4" count="1" selected="0">
            <x v="0"/>
          </reference>
          <reference field="70" count="1" selected="0">
            <x v="0"/>
          </reference>
        </references>
      </pivotArea>
    </format>
    <format dxfId="2848">
      <pivotArea outline="0" fieldPosition="0">
        <references count="4">
          <reference field="4294967294" count="1" selected="0">
            <x v="2"/>
          </reference>
          <reference field="0" count="1" selected="0">
            <x v="11"/>
          </reference>
          <reference field="4" count="1" selected="0">
            <x v="10"/>
          </reference>
          <reference field="70" count="1" selected="0">
            <x v="1"/>
          </reference>
        </references>
      </pivotArea>
    </format>
    <format dxfId="2849">
      <pivotArea outline="0" fieldPosition="0">
        <references count="4">
          <reference field="4294967294" count="1" selected="0">
            <x v="8"/>
          </reference>
          <reference field="0" count="1" selected="0">
            <x v="11"/>
          </reference>
          <reference field="4" count="1" selected="0">
            <x v="10"/>
          </reference>
          <reference field="70" count="1" selected="0">
            <x v="1"/>
          </reference>
        </references>
      </pivotArea>
    </format>
    <format dxfId="2850">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2851">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2852">
      <pivotArea outline="0" fieldPosition="0">
        <references count="4">
          <reference field="4294967294" count="2" selected="0">
            <x v="28"/>
            <x v="29"/>
          </reference>
          <reference field="0" count="1" selected="0">
            <x v="11"/>
          </reference>
          <reference field="4" count="1" selected="0">
            <x v="5"/>
          </reference>
          <reference field="70" count="1" selected="0">
            <x v="0"/>
          </reference>
        </references>
      </pivotArea>
    </format>
    <format dxfId="2853">
      <pivotArea outline="0" fieldPosition="0">
        <references count="4">
          <reference field="4294967294" count="1" selected="0">
            <x v="31"/>
          </reference>
          <reference field="0" count="1" selected="0">
            <x v="11"/>
          </reference>
          <reference field="4" count="1" selected="0">
            <x v="5"/>
          </reference>
          <reference field="70" count="1" selected="0">
            <x v="0"/>
          </reference>
        </references>
      </pivotArea>
    </format>
    <format dxfId="2854">
      <pivotArea outline="0" fieldPosition="0">
        <references count="4">
          <reference field="4294967294" count="2" selected="0">
            <x v="10"/>
            <x v="11"/>
          </reference>
          <reference field="0" count="1" selected="0">
            <x v="12"/>
          </reference>
          <reference field="4" count="1" selected="0">
            <x v="9"/>
          </reference>
          <reference field="70" count="1" selected="0">
            <x v="1"/>
          </reference>
        </references>
      </pivotArea>
    </format>
    <format dxfId="2855">
      <pivotArea outline="0" fieldPosition="0">
        <references count="4">
          <reference field="4294967294" count="1" selected="0">
            <x v="22"/>
          </reference>
          <reference field="0" count="1" selected="0">
            <x v="12"/>
          </reference>
          <reference field="4" count="1" selected="0">
            <x v="4"/>
          </reference>
          <reference field="70" count="1" selected="0">
            <x v="0"/>
          </reference>
        </references>
      </pivotArea>
    </format>
    <format dxfId="2856">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2857">
      <pivotArea outline="0" fieldPosition="0">
        <references count="4">
          <reference field="4294967294" count="1" selected="0">
            <x v="20"/>
          </reference>
          <reference field="0" count="1" selected="0">
            <x v="13"/>
          </reference>
          <reference field="4" count="3" selected="0">
            <x v="3"/>
            <x v="4"/>
            <x v="5"/>
          </reference>
          <reference field="70" count="1" selected="0">
            <x v="0"/>
          </reference>
        </references>
      </pivotArea>
    </format>
    <format dxfId="2858">
      <pivotArea outline="0" fieldPosition="0">
        <references count="4">
          <reference field="4294967294" count="1" selected="0">
            <x v="23"/>
          </reference>
          <reference field="0" count="1" selected="0">
            <x v="13"/>
          </reference>
          <reference field="4" count="2" selected="0">
            <x v="2"/>
            <x v="3"/>
          </reference>
          <reference field="70" count="1" selected="0">
            <x v="0"/>
          </reference>
        </references>
      </pivotArea>
    </format>
    <format dxfId="2859">
      <pivotArea outline="0" fieldPosition="0">
        <references count="4">
          <reference field="4294967294" count="1" selected="0">
            <x v="26"/>
          </reference>
          <reference field="0" count="1" selected="0">
            <x v="13"/>
          </reference>
          <reference field="4" count="2" selected="0">
            <x v="4"/>
            <x v="5"/>
          </reference>
          <reference field="70" count="1" selected="0">
            <x v="0"/>
          </reference>
        </references>
      </pivotArea>
    </format>
    <format dxfId="2860">
      <pivotArea outline="0" fieldPosition="0">
        <references count="4">
          <reference field="4294967294" count="1" selected="0">
            <x v="26"/>
          </reference>
          <reference field="0" count="1" selected="0">
            <x v="13"/>
          </reference>
          <reference field="4" count="1" selected="0">
            <x v="2"/>
          </reference>
          <reference field="70" count="1" selected="0">
            <x v="0"/>
          </reference>
        </references>
      </pivotArea>
    </format>
    <format dxfId="2861">
      <pivotArea outline="0" fieldPosition="0">
        <references count="4">
          <reference field="4294967294" count="2" selected="0">
            <x v="28"/>
            <x v="29"/>
          </reference>
          <reference field="0" count="1" selected="0">
            <x v="13"/>
          </reference>
          <reference field="4" count="1" selected="0">
            <x v="5"/>
          </reference>
          <reference field="70" count="1" selected="0">
            <x v="0"/>
          </reference>
        </references>
      </pivotArea>
    </format>
    <format dxfId="2862">
      <pivotArea outline="0" fieldPosition="0">
        <references count="4">
          <reference field="4294967294" count="1" selected="0">
            <x v="25"/>
          </reference>
          <reference field="0" count="1" selected="0">
            <x v="14"/>
          </reference>
          <reference field="4" count="1" selected="0">
            <x v="1"/>
          </reference>
          <reference field="70" count="1" selected="0">
            <x v="0"/>
          </reference>
        </references>
      </pivotArea>
    </format>
    <format dxfId="2863">
      <pivotArea outline="0" fieldPosition="0">
        <references count="4">
          <reference field="4294967294" count="1" selected="0">
            <x v="31"/>
          </reference>
          <reference field="0" count="1" selected="0">
            <x v="14"/>
          </reference>
          <reference field="4" count="1" selected="0">
            <x v="0"/>
          </reference>
          <reference field="70" count="1" selected="0">
            <x v="0"/>
          </reference>
        </references>
      </pivotArea>
    </format>
    <format dxfId="2864">
      <pivotArea outline="0" fieldPosition="0">
        <references count="4">
          <reference field="4294967294" count="1" selected="0">
            <x v="2"/>
          </reference>
          <reference field="0" count="1" selected="0">
            <x v="15"/>
          </reference>
          <reference field="4" count="1" selected="0">
            <x v="5"/>
          </reference>
          <reference field="70" count="1" selected="0">
            <x v="0"/>
          </reference>
        </references>
      </pivotArea>
    </format>
    <format dxfId="2865">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2866">
      <pivotArea outline="0" fieldPosition="0">
        <references count="4">
          <reference field="4294967294" count="1" selected="0">
            <x v="26"/>
          </reference>
          <reference field="0" count="1" selected="0">
            <x v="15"/>
          </reference>
          <reference field="4" count="1" selected="0">
            <x v="2"/>
          </reference>
          <reference field="70" count="1" selected="0">
            <x v="0"/>
          </reference>
        </references>
      </pivotArea>
    </format>
    <format dxfId="2867">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2868">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1327">
      <pivotArea type="all" dataOnly="0" outline="0" fieldPosition="0"/>
    </format>
    <format dxfId="1326">
      <pivotArea outline="0" fieldPosition="0"/>
    </format>
    <format dxfId="1325">
      <pivotArea type="origin" dataOnly="0" labelOnly="1" outline="0" fieldPosition="0"/>
    </format>
    <format dxfId="1324">
      <pivotArea field="70" type="button" dataOnly="0" labelOnly="1" outline="0" axis="axisCol" fieldPosition="0"/>
    </format>
    <format dxfId="1323">
      <pivotArea field="4" type="button" dataOnly="0" labelOnly="1" outline="0" axis="axisCol" fieldPosition="1"/>
    </format>
    <format dxfId="1322">
      <pivotArea type="topRight" dataOnly="0" labelOnly="1" outline="0" fieldPosition="0"/>
    </format>
    <format dxfId="1321">
      <pivotArea field="0" type="button" dataOnly="0" labelOnly="1" outline="0" axis="axisRow" fieldPosition="0"/>
    </format>
    <format dxfId="1320">
      <pivotArea field="-2" type="button" dataOnly="0" labelOnly="1" outline="0" axis="axisRow" fieldPosition="1"/>
    </format>
    <format dxfId="1319">
      <pivotArea dataOnly="0" labelOnly="1" outline="0" fieldPosition="0">
        <references count="1">
          <reference field="0" count="0"/>
        </references>
      </pivotArea>
    </format>
    <format dxfId="1318">
      <pivotArea field="0" dataOnly="0" labelOnly="1" grandRow="1" outline="0" axis="axisRow" fieldPosition="0">
        <references count="1">
          <reference field="4294967294" count="1" selected="0">
            <x v="0"/>
          </reference>
        </references>
      </pivotArea>
    </format>
    <format dxfId="1317">
      <pivotArea field="0" dataOnly="0" labelOnly="1" grandRow="1" outline="0" axis="axisRow" fieldPosition="0">
        <references count="1">
          <reference field="4294967294" count="1" selected="0">
            <x v="1"/>
          </reference>
        </references>
      </pivotArea>
    </format>
    <format dxfId="1316">
      <pivotArea field="0" dataOnly="0" labelOnly="1" grandRow="1" outline="0" axis="axisRow" fieldPosition="0">
        <references count="1">
          <reference field="4294967294" count="1" selected="0">
            <x v="2"/>
          </reference>
        </references>
      </pivotArea>
    </format>
    <format dxfId="1315">
      <pivotArea field="0" dataOnly="0" labelOnly="1" grandRow="1" outline="0" axis="axisRow" fieldPosition="0">
        <references count="1">
          <reference field="4294967294" count="1" selected="0">
            <x v="3"/>
          </reference>
        </references>
      </pivotArea>
    </format>
    <format dxfId="1314">
      <pivotArea field="0" dataOnly="0" labelOnly="1" grandRow="1" outline="0" axis="axisRow" fieldPosition="0">
        <references count="1">
          <reference field="4294967294" count="1" selected="0">
            <x v="4"/>
          </reference>
        </references>
      </pivotArea>
    </format>
    <format dxfId="1313">
      <pivotArea field="0" dataOnly="0" labelOnly="1" grandRow="1" outline="0" axis="axisRow" fieldPosition="0">
        <references count="1">
          <reference field="4294967294" count="1" selected="0">
            <x v="5"/>
          </reference>
        </references>
      </pivotArea>
    </format>
    <format dxfId="1312">
      <pivotArea field="0" dataOnly="0" labelOnly="1" grandRow="1" outline="0" axis="axisRow" fieldPosition="0">
        <references count="1">
          <reference field="4294967294" count="1" selected="0">
            <x v="6"/>
          </reference>
        </references>
      </pivotArea>
    </format>
    <format dxfId="1311">
      <pivotArea field="0" dataOnly="0" labelOnly="1" grandRow="1" outline="0" axis="axisRow" fieldPosition="0">
        <references count="1">
          <reference field="4294967294" count="1" selected="0">
            <x v="7"/>
          </reference>
        </references>
      </pivotArea>
    </format>
    <format dxfId="1310">
      <pivotArea field="0" dataOnly="0" labelOnly="1" grandRow="1" outline="0" axis="axisRow" fieldPosition="0">
        <references count="1">
          <reference field="4294967294" count="1" selected="0">
            <x v="8"/>
          </reference>
        </references>
      </pivotArea>
    </format>
    <format dxfId="1309">
      <pivotArea field="0" dataOnly="0" labelOnly="1" grandRow="1" outline="0" axis="axisRow" fieldPosition="0">
        <references count="1">
          <reference field="4294967294" count="1" selected="0">
            <x v="9"/>
          </reference>
        </references>
      </pivotArea>
    </format>
    <format dxfId="1308">
      <pivotArea field="0" dataOnly="0" labelOnly="1" grandRow="1" outline="0" axis="axisRow" fieldPosition="0">
        <references count="1">
          <reference field="4294967294" count="1" selected="0">
            <x v="10"/>
          </reference>
        </references>
      </pivotArea>
    </format>
    <format dxfId="1307">
      <pivotArea field="0" dataOnly="0" labelOnly="1" grandRow="1" outline="0" axis="axisRow" fieldPosition="0">
        <references count="1">
          <reference field="4294967294" count="1" selected="0">
            <x v="11"/>
          </reference>
        </references>
      </pivotArea>
    </format>
    <format dxfId="1306">
      <pivotArea field="0" dataOnly="0" labelOnly="1" grandRow="1" outline="0" axis="axisRow" fieldPosition="0">
        <references count="1">
          <reference field="4294967294" count="1" selected="0">
            <x v="12"/>
          </reference>
        </references>
      </pivotArea>
    </format>
    <format dxfId="1305">
      <pivotArea field="0" dataOnly="0" labelOnly="1" grandRow="1" outline="0" axis="axisRow" fieldPosition="0">
        <references count="1">
          <reference field="4294967294" count="1" selected="0">
            <x v="13"/>
          </reference>
        </references>
      </pivotArea>
    </format>
    <format dxfId="1304">
      <pivotArea field="0" dataOnly="0" labelOnly="1" grandRow="1" outline="0" axis="axisRow" fieldPosition="0">
        <references count="1">
          <reference field="4294967294" count="1" selected="0">
            <x v="14"/>
          </reference>
        </references>
      </pivotArea>
    </format>
    <format dxfId="1303">
      <pivotArea field="0" dataOnly="0" labelOnly="1" grandRow="1" outline="0" axis="axisRow" fieldPosition="0">
        <references count="1">
          <reference field="4294967294" count="1" selected="0">
            <x v="15"/>
          </reference>
        </references>
      </pivotArea>
    </format>
    <format dxfId="1302">
      <pivotArea field="0" dataOnly="0" labelOnly="1" grandRow="1" outline="0" axis="axisRow" fieldPosition="0">
        <references count="1">
          <reference field="4294967294" count="1" selected="0">
            <x v="16"/>
          </reference>
        </references>
      </pivotArea>
    </format>
    <format dxfId="1301">
      <pivotArea field="0" dataOnly="0" labelOnly="1" grandRow="1" outline="0" axis="axisRow" fieldPosition="0">
        <references count="1">
          <reference field="4294967294" count="1" selected="0">
            <x v="17"/>
          </reference>
        </references>
      </pivotArea>
    </format>
    <format dxfId="1300">
      <pivotArea field="0" dataOnly="0" labelOnly="1" grandRow="1" outline="0" axis="axisRow" fieldPosition="0">
        <references count="1">
          <reference field="4294967294" count="1" selected="0">
            <x v="18"/>
          </reference>
        </references>
      </pivotArea>
    </format>
    <format dxfId="1299">
      <pivotArea field="0" dataOnly="0" labelOnly="1" grandRow="1" outline="0" axis="axisRow" fieldPosition="0">
        <references count="1">
          <reference field="4294967294" count="1" selected="0">
            <x v="19"/>
          </reference>
        </references>
      </pivotArea>
    </format>
    <format dxfId="1298">
      <pivotArea field="0" dataOnly="0" labelOnly="1" grandRow="1" outline="0" axis="axisRow" fieldPosition="0">
        <references count="1">
          <reference field="4294967294" count="1" selected="0">
            <x v="20"/>
          </reference>
        </references>
      </pivotArea>
    </format>
    <format dxfId="1297">
      <pivotArea field="0" dataOnly="0" labelOnly="1" grandRow="1" outline="0" axis="axisRow" fieldPosition="0">
        <references count="1">
          <reference field="4294967294" count="1" selected="0">
            <x v="21"/>
          </reference>
        </references>
      </pivotArea>
    </format>
    <format dxfId="1296">
      <pivotArea field="0" dataOnly="0" labelOnly="1" grandRow="1" outline="0" axis="axisRow" fieldPosition="0">
        <references count="1">
          <reference field="4294967294" count="1" selected="0">
            <x v="22"/>
          </reference>
        </references>
      </pivotArea>
    </format>
    <format dxfId="1295">
      <pivotArea field="0" dataOnly="0" labelOnly="1" grandRow="1" outline="0" axis="axisRow" fieldPosition="0">
        <references count="1">
          <reference field="4294967294" count="1" selected="0">
            <x v="23"/>
          </reference>
        </references>
      </pivotArea>
    </format>
    <format dxfId="1294">
      <pivotArea field="0" dataOnly="0" labelOnly="1" grandRow="1" outline="0" axis="axisRow" fieldPosition="0">
        <references count="1">
          <reference field="4294967294" count="1" selected="0">
            <x v="24"/>
          </reference>
        </references>
      </pivotArea>
    </format>
    <format dxfId="1293">
      <pivotArea field="0" dataOnly="0" labelOnly="1" grandRow="1" outline="0" axis="axisRow" fieldPosition="0">
        <references count="1">
          <reference field="4294967294" count="1" selected="0">
            <x v="25"/>
          </reference>
        </references>
      </pivotArea>
    </format>
    <format dxfId="1292">
      <pivotArea field="0" dataOnly="0" labelOnly="1" grandRow="1" outline="0" axis="axisRow" fieldPosition="0">
        <references count="1">
          <reference field="4294967294" count="1" selected="0">
            <x v="26"/>
          </reference>
        </references>
      </pivotArea>
    </format>
    <format dxfId="1291">
      <pivotArea field="0" dataOnly="0" labelOnly="1" grandRow="1" outline="0" axis="axisRow" fieldPosition="0">
        <references count="1">
          <reference field="4294967294" count="1" selected="0">
            <x v="27"/>
          </reference>
        </references>
      </pivotArea>
    </format>
    <format dxfId="1290">
      <pivotArea field="0" dataOnly="0" labelOnly="1" grandRow="1" outline="0" axis="axisRow" fieldPosition="0">
        <references count="1">
          <reference field="4294967294" count="1" selected="0">
            <x v="28"/>
          </reference>
        </references>
      </pivotArea>
    </format>
    <format dxfId="1289">
      <pivotArea field="0" dataOnly="0" labelOnly="1" grandRow="1" outline="0" axis="axisRow" fieldPosition="0">
        <references count="1">
          <reference field="4294967294" count="1" selected="0">
            <x v="29"/>
          </reference>
        </references>
      </pivotArea>
    </format>
    <format dxfId="1288">
      <pivotArea field="0" dataOnly="0" labelOnly="1" grandRow="1" outline="0" axis="axisRow" fieldPosition="0">
        <references count="1">
          <reference field="4294967294" count="1" selected="0">
            <x v="30"/>
          </reference>
        </references>
      </pivotArea>
    </format>
    <format dxfId="1287">
      <pivotArea field="0" dataOnly="0" labelOnly="1" grandRow="1" outline="0" axis="axisRow" fieldPosition="0">
        <references count="1">
          <reference field="4294967294" count="1" selected="0">
            <x v="31"/>
          </reference>
        </references>
      </pivotArea>
    </format>
    <format dxfId="1286">
      <pivotArea field="0" dataOnly="0" labelOnly="1" grandRow="1" outline="0" axis="axisRow" fieldPosition="0">
        <references count="1">
          <reference field="4294967294" count="1" selected="0">
            <x v="32"/>
          </reference>
        </references>
      </pivotArea>
    </format>
    <format dxfId="1285">
      <pivotArea field="0" dataOnly="0" labelOnly="1" grandRow="1" outline="0" axis="axisRow" fieldPosition="0">
        <references count="1">
          <reference field="4294967294" count="1" selected="0">
            <x v="33"/>
          </reference>
        </references>
      </pivotArea>
    </format>
    <format dxfId="1284">
      <pivotArea field="0" dataOnly="0" labelOnly="1" grandRow="1" outline="0" axis="axisRow" fieldPosition="0">
        <references count="1">
          <reference field="4294967294" count="1" selected="0">
            <x v="34"/>
          </reference>
        </references>
      </pivotArea>
    </format>
    <format dxfId="1283">
      <pivotArea field="0" dataOnly="0" labelOnly="1" grandRow="1" outline="0" axis="axisRow" fieldPosition="0">
        <references count="1">
          <reference field="4294967294" count="1" selected="0">
            <x v="0"/>
          </reference>
        </references>
      </pivotArea>
    </format>
    <format dxfId="1282">
      <pivotArea field="0" dataOnly="0" labelOnly="1" grandRow="1" outline="0" axis="axisRow" fieldPosition="0">
        <references count="1">
          <reference field="4294967294" count="1" selected="0">
            <x v="1"/>
          </reference>
        </references>
      </pivotArea>
    </format>
    <format dxfId="1281">
      <pivotArea field="0" dataOnly="0" labelOnly="1" grandRow="1" outline="0" axis="axisRow" fieldPosition="0">
        <references count="1">
          <reference field="4294967294" count="1" selected="0">
            <x v="2"/>
          </reference>
        </references>
      </pivotArea>
    </format>
    <format dxfId="1280">
      <pivotArea field="0" dataOnly="0" labelOnly="1" grandRow="1" outline="0" axis="axisRow" fieldPosition="0">
        <references count="1">
          <reference field="4294967294" count="1" selected="0">
            <x v="3"/>
          </reference>
        </references>
      </pivotArea>
    </format>
    <format dxfId="1279">
      <pivotArea field="0" dataOnly="0" labelOnly="1" grandRow="1" outline="0" axis="axisRow" fieldPosition="0">
        <references count="1">
          <reference field="4294967294" count="1" selected="0">
            <x v="4"/>
          </reference>
        </references>
      </pivotArea>
    </format>
    <format dxfId="1278">
      <pivotArea field="0" dataOnly="0" labelOnly="1" grandRow="1" outline="0" axis="axisRow" fieldPosition="0">
        <references count="1">
          <reference field="4294967294" count="1" selected="0">
            <x v="5"/>
          </reference>
        </references>
      </pivotArea>
    </format>
    <format dxfId="1277">
      <pivotArea field="0" dataOnly="0" labelOnly="1" grandRow="1" outline="0" axis="axisRow" fieldPosition="0">
        <references count="1">
          <reference field="4294967294" count="1" selected="0">
            <x v="6"/>
          </reference>
        </references>
      </pivotArea>
    </format>
    <format dxfId="1276">
      <pivotArea field="0" dataOnly="0" labelOnly="1" grandRow="1" outline="0" axis="axisRow" fieldPosition="0">
        <references count="1">
          <reference field="4294967294" count="1" selected="0">
            <x v="7"/>
          </reference>
        </references>
      </pivotArea>
    </format>
    <format dxfId="1275">
      <pivotArea field="0" dataOnly="0" labelOnly="1" grandRow="1" outline="0" axis="axisRow" fieldPosition="0">
        <references count="1">
          <reference field="4294967294" count="1" selected="0">
            <x v="8"/>
          </reference>
        </references>
      </pivotArea>
    </format>
    <format dxfId="1274">
      <pivotArea field="0" dataOnly="0" labelOnly="1" grandRow="1" outline="0" axis="axisRow" fieldPosition="0">
        <references count="1">
          <reference field="4294967294" count="1" selected="0">
            <x v="9"/>
          </reference>
        </references>
      </pivotArea>
    </format>
    <format dxfId="1273">
      <pivotArea field="0" dataOnly="0" labelOnly="1" grandRow="1" outline="0" axis="axisRow" fieldPosition="0">
        <references count="1">
          <reference field="4294967294" count="1" selected="0">
            <x v="10"/>
          </reference>
        </references>
      </pivotArea>
    </format>
    <format dxfId="1272">
      <pivotArea field="0" dataOnly="0" labelOnly="1" grandRow="1" outline="0" axis="axisRow" fieldPosition="0">
        <references count="1">
          <reference field="4294967294" count="1" selected="0">
            <x v="11"/>
          </reference>
        </references>
      </pivotArea>
    </format>
    <format dxfId="1271">
      <pivotArea field="0" dataOnly="0" labelOnly="1" grandRow="1" outline="0" axis="axisRow" fieldPosition="0">
        <references count="1">
          <reference field="4294967294" count="1" selected="0">
            <x v="12"/>
          </reference>
        </references>
      </pivotArea>
    </format>
    <format dxfId="1270">
      <pivotArea field="0" dataOnly="0" labelOnly="1" grandRow="1" outline="0" axis="axisRow" fieldPosition="0">
        <references count="1">
          <reference field="4294967294" count="1" selected="0">
            <x v="13"/>
          </reference>
        </references>
      </pivotArea>
    </format>
    <format dxfId="1269">
      <pivotArea field="0" dataOnly="0" labelOnly="1" grandRow="1" outline="0" axis="axisRow" fieldPosition="0">
        <references count="1">
          <reference field="4294967294" count="1" selected="0">
            <x v="14"/>
          </reference>
        </references>
      </pivotArea>
    </format>
    <format dxfId="1268">
      <pivotArea field="0" dataOnly="0" labelOnly="1" grandRow="1" outline="0" axis="axisRow" fieldPosition="0">
        <references count="1">
          <reference field="4294967294" count="1" selected="0">
            <x v="15"/>
          </reference>
        </references>
      </pivotArea>
    </format>
    <format dxfId="1267">
      <pivotArea field="0" dataOnly="0" labelOnly="1" grandRow="1" outline="0" axis="axisRow" fieldPosition="0">
        <references count="1">
          <reference field="4294967294" count="1" selected="0">
            <x v="16"/>
          </reference>
        </references>
      </pivotArea>
    </format>
    <format dxfId="1266">
      <pivotArea field="0" dataOnly="0" labelOnly="1" grandRow="1" outline="0" axis="axisRow" fieldPosition="0">
        <references count="1">
          <reference field="4294967294" count="1" selected="0">
            <x v="17"/>
          </reference>
        </references>
      </pivotArea>
    </format>
    <format dxfId="1265">
      <pivotArea field="0" dataOnly="0" labelOnly="1" grandRow="1" outline="0" axis="axisRow" fieldPosition="0">
        <references count="1">
          <reference field="4294967294" count="1" selected="0">
            <x v="18"/>
          </reference>
        </references>
      </pivotArea>
    </format>
    <format dxfId="1264">
      <pivotArea field="0" dataOnly="0" labelOnly="1" grandRow="1" outline="0" axis="axisRow" fieldPosition="0">
        <references count="1">
          <reference field="4294967294" count="1" selected="0">
            <x v="19"/>
          </reference>
        </references>
      </pivotArea>
    </format>
    <format dxfId="1263">
      <pivotArea field="0" dataOnly="0" labelOnly="1" grandRow="1" outline="0" axis="axisRow" fieldPosition="0">
        <references count="1">
          <reference field="4294967294" count="1" selected="0">
            <x v="20"/>
          </reference>
        </references>
      </pivotArea>
    </format>
    <format dxfId="1262">
      <pivotArea field="0" dataOnly="0" labelOnly="1" grandRow="1" outline="0" axis="axisRow" fieldPosition="0">
        <references count="1">
          <reference field="4294967294" count="1" selected="0">
            <x v="21"/>
          </reference>
        </references>
      </pivotArea>
    </format>
    <format dxfId="1261">
      <pivotArea field="0" dataOnly="0" labelOnly="1" grandRow="1" outline="0" axis="axisRow" fieldPosition="0">
        <references count="1">
          <reference field="4294967294" count="1" selected="0">
            <x v="22"/>
          </reference>
        </references>
      </pivotArea>
    </format>
    <format dxfId="1260">
      <pivotArea field="0" dataOnly="0" labelOnly="1" grandRow="1" outline="0" axis="axisRow" fieldPosition="0">
        <references count="1">
          <reference field="4294967294" count="1" selected="0">
            <x v="23"/>
          </reference>
        </references>
      </pivotArea>
    </format>
    <format dxfId="1259">
      <pivotArea field="0" dataOnly="0" labelOnly="1" grandRow="1" outline="0" axis="axisRow" fieldPosition="0">
        <references count="1">
          <reference field="4294967294" count="1" selected="0">
            <x v="24"/>
          </reference>
        </references>
      </pivotArea>
    </format>
    <format dxfId="1258">
      <pivotArea field="0" dataOnly="0" labelOnly="1" grandRow="1" outline="0" axis="axisRow" fieldPosition="0">
        <references count="1">
          <reference field="4294967294" count="1" selected="0">
            <x v="25"/>
          </reference>
        </references>
      </pivotArea>
    </format>
    <format dxfId="1257">
      <pivotArea field="0" dataOnly="0" labelOnly="1" grandRow="1" outline="0" axis="axisRow" fieldPosition="0">
        <references count="1">
          <reference field="4294967294" count="1" selected="0">
            <x v="26"/>
          </reference>
        </references>
      </pivotArea>
    </format>
    <format dxfId="1256">
      <pivotArea field="0" dataOnly="0" labelOnly="1" grandRow="1" outline="0" axis="axisRow" fieldPosition="0">
        <references count="1">
          <reference field="4294967294" count="1" selected="0">
            <x v="27"/>
          </reference>
        </references>
      </pivotArea>
    </format>
    <format dxfId="1255">
      <pivotArea field="0" dataOnly="0" labelOnly="1" grandRow="1" outline="0" axis="axisRow" fieldPosition="0">
        <references count="1">
          <reference field="4294967294" count="1" selected="0">
            <x v="28"/>
          </reference>
        </references>
      </pivotArea>
    </format>
    <format dxfId="1254">
      <pivotArea field="0" dataOnly="0" labelOnly="1" grandRow="1" outline="0" axis="axisRow" fieldPosition="0">
        <references count="1">
          <reference field="4294967294" count="1" selected="0">
            <x v="29"/>
          </reference>
        </references>
      </pivotArea>
    </format>
    <format dxfId="1253">
      <pivotArea field="0" dataOnly="0" labelOnly="1" grandRow="1" outline="0" axis="axisRow" fieldPosition="0">
        <references count="1">
          <reference field="4294967294" count="1" selected="0">
            <x v="30"/>
          </reference>
        </references>
      </pivotArea>
    </format>
    <format dxfId="1252">
      <pivotArea field="0" dataOnly="0" labelOnly="1" grandRow="1" outline="0" axis="axisRow" fieldPosition="0">
        <references count="1">
          <reference field="4294967294" count="1" selected="0">
            <x v="31"/>
          </reference>
        </references>
      </pivotArea>
    </format>
    <format dxfId="1251">
      <pivotArea field="0" dataOnly="0" labelOnly="1" grandRow="1" outline="0" axis="axisRow" fieldPosition="0">
        <references count="1">
          <reference field="4294967294" count="1" selected="0">
            <x v="32"/>
          </reference>
        </references>
      </pivotArea>
    </format>
    <format dxfId="1250">
      <pivotArea field="0" dataOnly="0" labelOnly="1" grandRow="1" outline="0" axis="axisRow" fieldPosition="0">
        <references count="1">
          <reference field="4294967294" count="1" selected="0">
            <x v="33"/>
          </reference>
        </references>
      </pivotArea>
    </format>
    <format dxfId="1249">
      <pivotArea field="0" dataOnly="0" labelOnly="1" grandRow="1" outline="0" axis="axisRow" fieldPosition="0">
        <references count="1">
          <reference field="4294967294" count="1" selected="0">
            <x v="34"/>
          </reference>
        </references>
      </pivotArea>
    </format>
    <format dxfId="1248">
      <pivotArea field="0" dataOnly="0" labelOnly="1" grandRow="1" outline="0" axis="axisRow" fieldPosition="0">
        <references count="1">
          <reference field="4294967294" count="1" selected="0">
            <x v="35"/>
          </reference>
        </references>
      </pivotArea>
    </format>
    <format dxfId="1247">
      <pivotArea field="0" dataOnly="0" labelOnly="1" grandRow="1" outline="0" axis="axisRow" fieldPosition="0">
        <references count="1">
          <reference field="4294967294" count="1" selected="0">
            <x v="0"/>
          </reference>
        </references>
      </pivotArea>
    </format>
    <format dxfId="1246">
      <pivotArea field="0" dataOnly="0" labelOnly="1" grandRow="1" outline="0" axis="axisRow" fieldPosition="0">
        <references count="1">
          <reference field="4294967294" count="1" selected="0">
            <x v="1"/>
          </reference>
        </references>
      </pivotArea>
    </format>
    <format dxfId="1245">
      <pivotArea field="0" dataOnly="0" labelOnly="1" grandRow="1" outline="0" axis="axisRow" fieldPosition="0">
        <references count="1">
          <reference field="4294967294" count="1" selected="0">
            <x v="2"/>
          </reference>
        </references>
      </pivotArea>
    </format>
    <format dxfId="1244">
      <pivotArea field="0" dataOnly="0" labelOnly="1" grandRow="1" outline="0" axis="axisRow" fieldPosition="0">
        <references count="1">
          <reference field="4294967294" count="1" selected="0">
            <x v="3"/>
          </reference>
        </references>
      </pivotArea>
    </format>
    <format dxfId="1243">
      <pivotArea field="0" dataOnly="0" labelOnly="1" grandRow="1" outline="0" axis="axisRow" fieldPosition="0">
        <references count="1">
          <reference field="4294967294" count="1" selected="0">
            <x v="4"/>
          </reference>
        </references>
      </pivotArea>
    </format>
    <format dxfId="1242">
      <pivotArea field="0" dataOnly="0" labelOnly="1" grandRow="1" outline="0" axis="axisRow" fieldPosition="0">
        <references count="1">
          <reference field="4294967294" count="1" selected="0">
            <x v="5"/>
          </reference>
        </references>
      </pivotArea>
    </format>
    <format dxfId="1241">
      <pivotArea field="0" dataOnly="0" labelOnly="1" grandRow="1" outline="0" axis="axisRow" fieldPosition="0">
        <references count="1">
          <reference field="4294967294" count="1" selected="0">
            <x v="6"/>
          </reference>
        </references>
      </pivotArea>
    </format>
    <format dxfId="1240">
      <pivotArea field="0" dataOnly="0" labelOnly="1" grandRow="1" outline="0" axis="axisRow" fieldPosition="0">
        <references count="1">
          <reference field="4294967294" count="1" selected="0">
            <x v="7"/>
          </reference>
        </references>
      </pivotArea>
    </format>
    <format dxfId="1239">
      <pivotArea field="0" dataOnly="0" labelOnly="1" grandRow="1" outline="0" axis="axisRow" fieldPosition="0">
        <references count="1">
          <reference field="4294967294" count="1" selected="0">
            <x v="8"/>
          </reference>
        </references>
      </pivotArea>
    </format>
    <format dxfId="1238">
      <pivotArea field="0" dataOnly="0" labelOnly="1" grandRow="1" outline="0" axis="axisRow" fieldPosition="0">
        <references count="1">
          <reference field="4294967294" count="1" selected="0">
            <x v="9"/>
          </reference>
        </references>
      </pivotArea>
    </format>
    <format dxfId="1237">
      <pivotArea field="0" dataOnly="0" labelOnly="1" grandRow="1" outline="0" axis="axisRow" fieldPosition="0">
        <references count="1">
          <reference field="4294967294" count="1" selected="0">
            <x v="10"/>
          </reference>
        </references>
      </pivotArea>
    </format>
    <format dxfId="1236">
      <pivotArea field="0" dataOnly="0" labelOnly="1" grandRow="1" outline="0" axis="axisRow" fieldPosition="0">
        <references count="1">
          <reference field="4294967294" count="1" selected="0">
            <x v="11"/>
          </reference>
        </references>
      </pivotArea>
    </format>
    <format dxfId="1235">
      <pivotArea field="0" dataOnly="0" labelOnly="1" grandRow="1" outline="0" axis="axisRow" fieldPosition="0">
        <references count="1">
          <reference field="4294967294" count="1" selected="0">
            <x v="12"/>
          </reference>
        </references>
      </pivotArea>
    </format>
    <format dxfId="1234">
      <pivotArea field="0" dataOnly="0" labelOnly="1" grandRow="1" outline="0" axis="axisRow" fieldPosition="0">
        <references count="1">
          <reference field="4294967294" count="1" selected="0">
            <x v="13"/>
          </reference>
        </references>
      </pivotArea>
    </format>
    <format dxfId="1233">
      <pivotArea field="0" dataOnly="0" labelOnly="1" grandRow="1" outline="0" axis="axisRow" fieldPosition="0">
        <references count="1">
          <reference field="4294967294" count="1" selected="0">
            <x v="14"/>
          </reference>
        </references>
      </pivotArea>
    </format>
    <format dxfId="1232">
      <pivotArea field="0" dataOnly="0" labelOnly="1" grandRow="1" outline="0" axis="axisRow" fieldPosition="0">
        <references count="1">
          <reference field="4294967294" count="1" selected="0">
            <x v="15"/>
          </reference>
        </references>
      </pivotArea>
    </format>
    <format dxfId="1231">
      <pivotArea field="0" dataOnly="0" labelOnly="1" grandRow="1" outline="0" axis="axisRow" fieldPosition="0">
        <references count="1">
          <reference field="4294967294" count="1" selected="0">
            <x v="16"/>
          </reference>
        </references>
      </pivotArea>
    </format>
    <format dxfId="1230">
      <pivotArea field="0" dataOnly="0" labelOnly="1" grandRow="1" outline="0" axis="axisRow" fieldPosition="0">
        <references count="1">
          <reference field="4294967294" count="1" selected="0">
            <x v="17"/>
          </reference>
        </references>
      </pivotArea>
    </format>
    <format dxfId="1229">
      <pivotArea field="0" dataOnly="0" labelOnly="1" grandRow="1" outline="0" axis="axisRow" fieldPosition="0">
        <references count="1">
          <reference field="4294967294" count="1" selected="0">
            <x v="18"/>
          </reference>
        </references>
      </pivotArea>
    </format>
    <format dxfId="1228">
      <pivotArea field="0" dataOnly="0" labelOnly="1" grandRow="1" outline="0" axis="axisRow" fieldPosition="0">
        <references count="1">
          <reference field="4294967294" count="1" selected="0">
            <x v="19"/>
          </reference>
        </references>
      </pivotArea>
    </format>
    <format dxfId="1227">
      <pivotArea field="0" dataOnly="0" labelOnly="1" grandRow="1" outline="0" axis="axisRow" fieldPosition="0">
        <references count="1">
          <reference field="4294967294" count="1" selected="0">
            <x v="20"/>
          </reference>
        </references>
      </pivotArea>
    </format>
    <format dxfId="1226">
      <pivotArea field="0" dataOnly="0" labelOnly="1" grandRow="1" outline="0" axis="axisRow" fieldPosition="0">
        <references count="1">
          <reference field="4294967294" count="1" selected="0">
            <x v="21"/>
          </reference>
        </references>
      </pivotArea>
    </format>
    <format dxfId="1225">
      <pivotArea field="0" dataOnly="0" labelOnly="1" grandRow="1" outline="0" axis="axisRow" fieldPosition="0">
        <references count="1">
          <reference field="4294967294" count="1" selected="0">
            <x v="22"/>
          </reference>
        </references>
      </pivotArea>
    </format>
    <format dxfId="1224">
      <pivotArea field="0" dataOnly="0" labelOnly="1" grandRow="1" outline="0" axis="axisRow" fieldPosition="0">
        <references count="1">
          <reference field="4294967294" count="1" selected="0">
            <x v="23"/>
          </reference>
        </references>
      </pivotArea>
    </format>
    <format dxfId="1223">
      <pivotArea field="0" dataOnly="0" labelOnly="1" grandRow="1" outline="0" axis="axisRow" fieldPosition="0">
        <references count="1">
          <reference field="4294967294" count="1" selected="0">
            <x v="24"/>
          </reference>
        </references>
      </pivotArea>
    </format>
    <format dxfId="1222">
      <pivotArea field="0" dataOnly="0" labelOnly="1" grandRow="1" outline="0" axis="axisRow" fieldPosition="0">
        <references count="1">
          <reference field="4294967294" count="1" selected="0">
            <x v="25"/>
          </reference>
        </references>
      </pivotArea>
    </format>
    <format dxfId="1221">
      <pivotArea field="0" dataOnly="0" labelOnly="1" grandRow="1" outline="0" axis="axisRow" fieldPosition="0">
        <references count="1">
          <reference field="4294967294" count="1" selected="0">
            <x v="26"/>
          </reference>
        </references>
      </pivotArea>
    </format>
    <format dxfId="1220">
      <pivotArea field="0" dataOnly="0" labelOnly="1" grandRow="1" outline="0" axis="axisRow" fieldPosition="0">
        <references count="1">
          <reference field="4294967294" count="1" selected="0">
            <x v="27"/>
          </reference>
        </references>
      </pivotArea>
    </format>
    <format dxfId="1219">
      <pivotArea field="0" dataOnly="0" labelOnly="1" grandRow="1" outline="0" axis="axisRow" fieldPosition="0">
        <references count="1">
          <reference field="4294967294" count="1" selected="0">
            <x v="28"/>
          </reference>
        </references>
      </pivotArea>
    </format>
    <format dxfId="1218">
      <pivotArea field="0" dataOnly="0" labelOnly="1" grandRow="1" outline="0" axis="axisRow" fieldPosition="0">
        <references count="1">
          <reference field="4294967294" count="1" selected="0">
            <x v="29"/>
          </reference>
        </references>
      </pivotArea>
    </format>
    <format dxfId="1217">
      <pivotArea field="0" dataOnly="0" labelOnly="1" grandRow="1" outline="0" axis="axisRow" fieldPosition="0">
        <references count="1">
          <reference field="4294967294" count="1" selected="0">
            <x v="30"/>
          </reference>
        </references>
      </pivotArea>
    </format>
    <format dxfId="1216">
      <pivotArea field="0" dataOnly="0" labelOnly="1" grandRow="1" outline="0" axis="axisRow" fieldPosition="0">
        <references count="1">
          <reference field="4294967294" count="1" selected="0">
            <x v="31"/>
          </reference>
        </references>
      </pivotArea>
    </format>
    <format dxfId="1215">
      <pivotArea field="0" dataOnly="0" labelOnly="1" grandRow="1" outline="0" axis="axisRow" fieldPosition="0">
        <references count="1">
          <reference field="4294967294" count="1" selected="0">
            <x v="32"/>
          </reference>
        </references>
      </pivotArea>
    </format>
    <format dxfId="1214">
      <pivotArea field="0" dataOnly="0" labelOnly="1" grandRow="1" outline="0" axis="axisRow" fieldPosition="0">
        <references count="1">
          <reference field="4294967294" count="1" selected="0">
            <x v="33"/>
          </reference>
        </references>
      </pivotArea>
    </format>
    <format dxfId="1213">
      <pivotArea field="0" dataOnly="0" labelOnly="1" grandRow="1" outline="0" axis="axisRow" fieldPosition="0">
        <references count="1">
          <reference field="4294967294" count="1" selected="0">
            <x v="34"/>
          </reference>
        </references>
      </pivotArea>
    </format>
    <format dxfId="1212">
      <pivotArea field="0" dataOnly="0" labelOnly="1" grandRow="1" outline="0" axis="axisRow" fieldPosition="0">
        <references count="1">
          <reference field="4294967294" count="1" selected="0">
            <x v="35"/>
          </reference>
        </references>
      </pivotArea>
    </format>
    <format dxfId="1211">
      <pivotArea field="0" dataOnly="0" labelOnly="1" grandRow="1" outline="0" axis="axisRow" fieldPosition="0">
        <references count="1">
          <reference field="4294967294" count="1" selected="0">
            <x v="0"/>
          </reference>
        </references>
      </pivotArea>
    </format>
    <format dxfId="1210">
      <pivotArea field="0" dataOnly="0" labelOnly="1" grandRow="1" outline="0" axis="axisRow" fieldPosition="0">
        <references count="1">
          <reference field="4294967294" count="1" selected="0">
            <x v="1"/>
          </reference>
        </references>
      </pivotArea>
    </format>
    <format dxfId="1209">
      <pivotArea field="0" dataOnly="0" labelOnly="1" grandRow="1" outline="0" axis="axisRow" fieldPosition="0">
        <references count="1">
          <reference field="4294967294" count="1" selected="0">
            <x v="2"/>
          </reference>
        </references>
      </pivotArea>
    </format>
    <format dxfId="1208">
      <pivotArea field="0" dataOnly="0" labelOnly="1" grandRow="1" outline="0" axis="axisRow" fieldPosition="0">
        <references count="1">
          <reference field="4294967294" count="1" selected="0">
            <x v="3"/>
          </reference>
        </references>
      </pivotArea>
    </format>
    <format dxfId="1207">
      <pivotArea field="0" dataOnly="0" labelOnly="1" grandRow="1" outline="0" axis="axisRow" fieldPosition="0">
        <references count="1">
          <reference field="4294967294" count="1" selected="0">
            <x v="4"/>
          </reference>
        </references>
      </pivotArea>
    </format>
    <format dxfId="1206">
      <pivotArea field="0" dataOnly="0" labelOnly="1" grandRow="1" outline="0" axis="axisRow" fieldPosition="0">
        <references count="1">
          <reference field="4294967294" count="1" selected="0">
            <x v="5"/>
          </reference>
        </references>
      </pivotArea>
    </format>
    <format dxfId="1205">
      <pivotArea field="0" dataOnly="0" labelOnly="1" grandRow="1" outline="0" axis="axisRow" fieldPosition="0">
        <references count="1">
          <reference field="4294967294" count="1" selected="0">
            <x v="6"/>
          </reference>
        </references>
      </pivotArea>
    </format>
    <format dxfId="1204">
      <pivotArea field="0" dataOnly="0" labelOnly="1" grandRow="1" outline="0" axis="axisRow" fieldPosition="0">
        <references count="1">
          <reference field="4294967294" count="1" selected="0">
            <x v="7"/>
          </reference>
        </references>
      </pivotArea>
    </format>
    <format dxfId="1203">
      <pivotArea field="0" dataOnly="0" labelOnly="1" grandRow="1" outline="0" axis="axisRow" fieldPosition="0">
        <references count="1">
          <reference field="4294967294" count="1" selected="0">
            <x v="8"/>
          </reference>
        </references>
      </pivotArea>
    </format>
    <format dxfId="1202">
      <pivotArea field="0" dataOnly="0" labelOnly="1" grandRow="1" outline="0" axis="axisRow" fieldPosition="0">
        <references count="1">
          <reference field="4294967294" count="1" selected="0">
            <x v="9"/>
          </reference>
        </references>
      </pivotArea>
    </format>
    <format dxfId="1201">
      <pivotArea field="0" dataOnly="0" labelOnly="1" grandRow="1" outline="0" axis="axisRow" fieldPosition="0">
        <references count="1">
          <reference field="4294967294" count="1" selected="0">
            <x v="10"/>
          </reference>
        </references>
      </pivotArea>
    </format>
    <format dxfId="1200">
      <pivotArea field="0" dataOnly="0" labelOnly="1" grandRow="1" outline="0" axis="axisRow" fieldPosition="0">
        <references count="1">
          <reference field="4294967294" count="1" selected="0">
            <x v="11"/>
          </reference>
        </references>
      </pivotArea>
    </format>
    <format dxfId="1199">
      <pivotArea field="0" dataOnly="0" labelOnly="1" grandRow="1" outline="0" axis="axisRow" fieldPosition="0">
        <references count="1">
          <reference field="4294967294" count="1" selected="0">
            <x v="12"/>
          </reference>
        </references>
      </pivotArea>
    </format>
    <format dxfId="1198">
      <pivotArea field="0" dataOnly="0" labelOnly="1" grandRow="1" outline="0" axis="axisRow" fieldPosition="0">
        <references count="1">
          <reference field="4294967294" count="1" selected="0">
            <x v="13"/>
          </reference>
        </references>
      </pivotArea>
    </format>
    <format dxfId="1197">
      <pivotArea field="0" dataOnly="0" labelOnly="1" grandRow="1" outline="0" axis="axisRow" fieldPosition="0">
        <references count="1">
          <reference field="4294967294" count="1" selected="0">
            <x v="14"/>
          </reference>
        </references>
      </pivotArea>
    </format>
    <format dxfId="1196">
      <pivotArea field="0" dataOnly="0" labelOnly="1" grandRow="1" outline="0" axis="axisRow" fieldPosition="0">
        <references count="1">
          <reference field="4294967294" count="1" selected="0">
            <x v="15"/>
          </reference>
        </references>
      </pivotArea>
    </format>
    <format dxfId="1195">
      <pivotArea field="0" dataOnly="0" labelOnly="1" grandRow="1" outline="0" axis="axisRow" fieldPosition="0">
        <references count="1">
          <reference field="4294967294" count="1" selected="0">
            <x v="16"/>
          </reference>
        </references>
      </pivotArea>
    </format>
    <format dxfId="1194">
      <pivotArea field="0" dataOnly="0" labelOnly="1" grandRow="1" outline="0" axis="axisRow" fieldPosition="0">
        <references count="1">
          <reference field="4294967294" count="1" selected="0">
            <x v="17"/>
          </reference>
        </references>
      </pivotArea>
    </format>
    <format dxfId="1193">
      <pivotArea field="0" dataOnly="0" labelOnly="1" grandRow="1" outline="0" axis="axisRow" fieldPosition="0">
        <references count="1">
          <reference field="4294967294" count="1" selected="0">
            <x v="18"/>
          </reference>
        </references>
      </pivotArea>
    </format>
    <format dxfId="1192">
      <pivotArea field="0" dataOnly="0" labelOnly="1" grandRow="1" outline="0" axis="axisRow" fieldPosition="0">
        <references count="1">
          <reference field="4294967294" count="1" selected="0">
            <x v="19"/>
          </reference>
        </references>
      </pivotArea>
    </format>
    <format dxfId="1191">
      <pivotArea field="0" dataOnly="0" labelOnly="1" grandRow="1" outline="0" axis="axisRow" fieldPosition="0">
        <references count="1">
          <reference field="4294967294" count="1" selected="0">
            <x v="20"/>
          </reference>
        </references>
      </pivotArea>
    </format>
    <format dxfId="1190">
      <pivotArea field="0" dataOnly="0" labelOnly="1" grandRow="1" outline="0" axis="axisRow" fieldPosition="0">
        <references count="1">
          <reference field="4294967294" count="1" selected="0">
            <x v="21"/>
          </reference>
        </references>
      </pivotArea>
    </format>
    <format dxfId="1189">
      <pivotArea field="0" dataOnly="0" labelOnly="1" grandRow="1" outline="0" axis="axisRow" fieldPosition="0">
        <references count="1">
          <reference field="4294967294" count="1" selected="0">
            <x v="22"/>
          </reference>
        </references>
      </pivotArea>
    </format>
    <format dxfId="1188">
      <pivotArea field="0" dataOnly="0" labelOnly="1" grandRow="1" outline="0" axis="axisRow" fieldPosition="0">
        <references count="1">
          <reference field="4294967294" count="1" selected="0">
            <x v="23"/>
          </reference>
        </references>
      </pivotArea>
    </format>
    <format dxfId="1187">
      <pivotArea field="0" dataOnly="0" labelOnly="1" grandRow="1" outline="0" axis="axisRow" fieldPosition="0">
        <references count="1">
          <reference field="4294967294" count="1" selected="0">
            <x v="24"/>
          </reference>
        </references>
      </pivotArea>
    </format>
    <format dxfId="1186">
      <pivotArea field="0" dataOnly="0" labelOnly="1" grandRow="1" outline="0" axis="axisRow" fieldPosition="0">
        <references count="1">
          <reference field="4294967294" count="1" selected="0">
            <x v="25"/>
          </reference>
        </references>
      </pivotArea>
    </format>
    <format dxfId="1185">
      <pivotArea field="0" dataOnly="0" labelOnly="1" grandRow="1" outline="0" axis="axisRow" fieldPosition="0">
        <references count="1">
          <reference field="4294967294" count="1" selected="0">
            <x v="26"/>
          </reference>
        </references>
      </pivotArea>
    </format>
    <format dxfId="1184">
      <pivotArea field="0" dataOnly="0" labelOnly="1" grandRow="1" outline="0" axis="axisRow" fieldPosition="0">
        <references count="1">
          <reference field="4294967294" count="1" selected="0">
            <x v="27"/>
          </reference>
        </references>
      </pivotArea>
    </format>
    <format dxfId="1183">
      <pivotArea field="0" dataOnly="0" labelOnly="1" grandRow="1" outline="0" axis="axisRow" fieldPosition="0">
        <references count="1">
          <reference field="4294967294" count="1" selected="0">
            <x v="28"/>
          </reference>
        </references>
      </pivotArea>
    </format>
    <format dxfId="1182">
      <pivotArea field="0" dataOnly="0" labelOnly="1" grandRow="1" outline="0" axis="axisRow" fieldPosition="0">
        <references count="1">
          <reference field="4294967294" count="1" selected="0">
            <x v="29"/>
          </reference>
        </references>
      </pivotArea>
    </format>
    <format dxfId="1181">
      <pivotArea field="0" dataOnly="0" labelOnly="1" grandRow="1" outline="0" axis="axisRow" fieldPosition="0">
        <references count="1">
          <reference field="4294967294" count="1" selected="0">
            <x v="30"/>
          </reference>
        </references>
      </pivotArea>
    </format>
    <format dxfId="1180">
      <pivotArea field="0" dataOnly="0" labelOnly="1" grandRow="1" outline="0" axis="axisRow" fieldPosition="0">
        <references count="1">
          <reference field="4294967294" count="1" selected="0">
            <x v="31"/>
          </reference>
        </references>
      </pivotArea>
    </format>
    <format dxfId="1179">
      <pivotArea field="0" dataOnly="0" labelOnly="1" grandRow="1" outline="0" axis="axisRow" fieldPosition="0">
        <references count="1">
          <reference field="4294967294" count="1" selected="0">
            <x v="32"/>
          </reference>
        </references>
      </pivotArea>
    </format>
    <format dxfId="1178">
      <pivotArea field="0" dataOnly="0" labelOnly="1" grandRow="1" outline="0" axis="axisRow" fieldPosition="0">
        <references count="1">
          <reference field="4294967294" count="1" selected="0">
            <x v="33"/>
          </reference>
        </references>
      </pivotArea>
    </format>
    <format dxfId="1177">
      <pivotArea field="0" dataOnly="0" labelOnly="1" grandRow="1" outline="0" axis="axisRow" fieldPosition="0">
        <references count="1">
          <reference field="4294967294" count="1" selected="0">
            <x v="34"/>
          </reference>
        </references>
      </pivotArea>
    </format>
    <format dxfId="1176">
      <pivotArea field="0" dataOnly="0" labelOnly="1" grandRow="1" outline="0" axis="axisRow" fieldPosition="0">
        <references count="1">
          <reference field="4294967294" count="1" selected="0">
            <x v="35"/>
          </reference>
        </references>
      </pivotArea>
    </format>
    <format dxfId="1175">
      <pivotArea field="0" dataOnly="0" labelOnly="1" grandRow="1" outline="0" axis="axisRow" fieldPosition="0">
        <references count="1">
          <reference field="4294967294" count="1" selected="0">
            <x v="0"/>
          </reference>
        </references>
      </pivotArea>
    </format>
    <format dxfId="1174">
      <pivotArea field="0" dataOnly="0" labelOnly="1" grandRow="1" outline="0" axis="axisRow" fieldPosition="0">
        <references count="1">
          <reference field="4294967294" count="1" selected="0">
            <x v="1"/>
          </reference>
        </references>
      </pivotArea>
    </format>
    <format dxfId="1173">
      <pivotArea field="0" dataOnly="0" labelOnly="1" grandRow="1" outline="0" axis="axisRow" fieldPosition="0">
        <references count="1">
          <reference field="4294967294" count="1" selected="0">
            <x v="2"/>
          </reference>
        </references>
      </pivotArea>
    </format>
    <format dxfId="1172">
      <pivotArea field="0" dataOnly="0" labelOnly="1" grandRow="1" outline="0" axis="axisRow" fieldPosition="0">
        <references count="1">
          <reference field="4294967294" count="1" selected="0">
            <x v="3"/>
          </reference>
        </references>
      </pivotArea>
    </format>
    <format dxfId="1171">
      <pivotArea field="0" dataOnly="0" labelOnly="1" grandRow="1" outline="0" axis="axisRow" fieldPosition="0">
        <references count="1">
          <reference field="4294967294" count="1" selected="0">
            <x v="4"/>
          </reference>
        </references>
      </pivotArea>
    </format>
    <format dxfId="1170">
      <pivotArea field="0" dataOnly="0" labelOnly="1" grandRow="1" outline="0" axis="axisRow" fieldPosition="0">
        <references count="1">
          <reference field="4294967294" count="1" selected="0">
            <x v="5"/>
          </reference>
        </references>
      </pivotArea>
    </format>
    <format dxfId="1169">
      <pivotArea field="0" dataOnly="0" labelOnly="1" grandRow="1" outline="0" axis="axisRow" fieldPosition="0">
        <references count="1">
          <reference field="4294967294" count="1" selected="0">
            <x v="6"/>
          </reference>
        </references>
      </pivotArea>
    </format>
    <format dxfId="1168">
      <pivotArea field="0" dataOnly="0" labelOnly="1" grandRow="1" outline="0" axis="axisRow" fieldPosition="0">
        <references count="1">
          <reference field="4294967294" count="1" selected="0">
            <x v="7"/>
          </reference>
        </references>
      </pivotArea>
    </format>
    <format dxfId="1167">
      <pivotArea field="0" dataOnly="0" labelOnly="1" grandRow="1" outline="0" axis="axisRow" fieldPosition="0">
        <references count="1">
          <reference field="4294967294" count="1" selected="0">
            <x v="8"/>
          </reference>
        </references>
      </pivotArea>
    </format>
    <format dxfId="1166">
      <pivotArea field="0" dataOnly="0" labelOnly="1" grandRow="1" outline="0" axis="axisRow" fieldPosition="0">
        <references count="1">
          <reference field="4294967294" count="1" selected="0">
            <x v="9"/>
          </reference>
        </references>
      </pivotArea>
    </format>
    <format dxfId="1165">
      <pivotArea field="0" dataOnly="0" labelOnly="1" grandRow="1" outline="0" axis="axisRow" fieldPosition="0">
        <references count="1">
          <reference field="4294967294" count="1" selected="0">
            <x v="10"/>
          </reference>
        </references>
      </pivotArea>
    </format>
    <format dxfId="1164">
      <pivotArea field="0" dataOnly="0" labelOnly="1" grandRow="1" outline="0" axis="axisRow" fieldPosition="0">
        <references count="1">
          <reference field="4294967294" count="1" selected="0">
            <x v="11"/>
          </reference>
        </references>
      </pivotArea>
    </format>
    <format dxfId="1163">
      <pivotArea field="0" dataOnly="0" labelOnly="1" grandRow="1" outline="0" axis="axisRow" fieldPosition="0">
        <references count="1">
          <reference field="4294967294" count="1" selected="0">
            <x v="12"/>
          </reference>
        </references>
      </pivotArea>
    </format>
    <format dxfId="1162">
      <pivotArea field="0" dataOnly="0" labelOnly="1" grandRow="1" outline="0" axis="axisRow" fieldPosition="0">
        <references count="1">
          <reference field="4294967294" count="1" selected="0">
            <x v="13"/>
          </reference>
        </references>
      </pivotArea>
    </format>
    <format dxfId="1161">
      <pivotArea field="0" dataOnly="0" labelOnly="1" grandRow="1" outline="0" axis="axisRow" fieldPosition="0">
        <references count="1">
          <reference field="4294967294" count="1" selected="0">
            <x v="14"/>
          </reference>
        </references>
      </pivotArea>
    </format>
    <format dxfId="1160">
      <pivotArea field="0" dataOnly="0" labelOnly="1" grandRow="1" outline="0" axis="axisRow" fieldPosition="0">
        <references count="1">
          <reference field="4294967294" count="1" selected="0">
            <x v="15"/>
          </reference>
        </references>
      </pivotArea>
    </format>
    <format dxfId="1159">
      <pivotArea field="0" dataOnly="0" labelOnly="1" grandRow="1" outline="0" axis="axisRow" fieldPosition="0">
        <references count="1">
          <reference field="4294967294" count="1" selected="0">
            <x v="16"/>
          </reference>
        </references>
      </pivotArea>
    </format>
    <format dxfId="1158">
      <pivotArea field="0" dataOnly="0" labelOnly="1" grandRow="1" outline="0" axis="axisRow" fieldPosition="0">
        <references count="1">
          <reference field="4294967294" count="1" selected="0">
            <x v="17"/>
          </reference>
        </references>
      </pivotArea>
    </format>
    <format dxfId="1157">
      <pivotArea field="0" dataOnly="0" labelOnly="1" grandRow="1" outline="0" axis="axisRow" fieldPosition="0">
        <references count="1">
          <reference field="4294967294" count="1" selected="0">
            <x v="18"/>
          </reference>
        </references>
      </pivotArea>
    </format>
    <format dxfId="1156">
      <pivotArea field="0" dataOnly="0" labelOnly="1" grandRow="1" outline="0" axis="axisRow" fieldPosition="0">
        <references count="1">
          <reference field="4294967294" count="1" selected="0">
            <x v="19"/>
          </reference>
        </references>
      </pivotArea>
    </format>
    <format dxfId="1155">
      <pivotArea field="0" dataOnly="0" labelOnly="1" grandRow="1" outline="0" axis="axisRow" fieldPosition="0">
        <references count="1">
          <reference field="4294967294" count="1" selected="0">
            <x v="20"/>
          </reference>
        </references>
      </pivotArea>
    </format>
    <format dxfId="1154">
      <pivotArea field="0" dataOnly="0" labelOnly="1" grandRow="1" outline="0" axis="axisRow" fieldPosition="0">
        <references count="1">
          <reference field="4294967294" count="1" selected="0">
            <x v="21"/>
          </reference>
        </references>
      </pivotArea>
    </format>
    <format dxfId="1153">
      <pivotArea field="0" dataOnly="0" labelOnly="1" grandRow="1" outline="0" axis="axisRow" fieldPosition="0">
        <references count="1">
          <reference field="4294967294" count="1" selected="0">
            <x v="22"/>
          </reference>
        </references>
      </pivotArea>
    </format>
    <format dxfId="1152">
      <pivotArea field="0" dataOnly="0" labelOnly="1" grandRow="1" outline="0" axis="axisRow" fieldPosition="0">
        <references count="1">
          <reference field="4294967294" count="1" selected="0">
            <x v="23"/>
          </reference>
        </references>
      </pivotArea>
    </format>
    <format dxfId="1151">
      <pivotArea field="0" dataOnly="0" labelOnly="1" grandRow="1" outline="0" axis="axisRow" fieldPosition="0">
        <references count="1">
          <reference field="4294967294" count="1" selected="0">
            <x v="24"/>
          </reference>
        </references>
      </pivotArea>
    </format>
    <format dxfId="1150">
      <pivotArea field="0" dataOnly="0" labelOnly="1" grandRow="1" outline="0" axis="axisRow" fieldPosition="0">
        <references count="1">
          <reference field="4294967294" count="1" selected="0">
            <x v="25"/>
          </reference>
        </references>
      </pivotArea>
    </format>
    <format dxfId="1149">
      <pivotArea field="0" dataOnly="0" labelOnly="1" grandRow="1" outline="0" axis="axisRow" fieldPosition="0">
        <references count="1">
          <reference field="4294967294" count="1" selected="0">
            <x v="26"/>
          </reference>
        </references>
      </pivotArea>
    </format>
    <format dxfId="1148">
      <pivotArea field="0" dataOnly="0" labelOnly="1" grandRow="1" outline="0" axis="axisRow" fieldPosition="0">
        <references count="1">
          <reference field="4294967294" count="1" selected="0">
            <x v="27"/>
          </reference>
        </references>
      </pivotArea>
    </format>
    <format dxfId="1147">
      <pivotArea field="0" dataOnly="0" labelOnly="1" grandRow="1" outline="0" axis="axisRow" fieldPosition="0">
        <references count="1">
          <reference field="4294967294" count="1" selected="0">
            <x v="28"/>
          </reference>
        </references>
      </pivotArea>
    </format>
    <format dxfId="1146">
      <pivotArea field="0" dataOnly="0" labelOnly="1" grandRow="1" outline="0" axis="axisRow" fieldPosition="0">
        <references count="1">
          <reference field="4294967294" count="1" selected="0">
            <x v="29"/>
          </reference>
        </references>
      </pivotArea>
    </format>
    <format dxfId="1145">
      <pivotArea field="0" dataOnly="0" labelOnly="1" grandRow="1" outline="0" axis="axisRow" fieldPosition="0">
        <references count="1">
          <reference field="4294967294" count="1" selected="0">
            <x v="30"/>
          </reference>
        </references>
      </pivotArea>
    </format>
    <format dxfId="1144">
      <pivotArea field="0" dataOnly="0" labelOnly="1" grandRow="1" outline="0" axis="axisRow" fieldPosition="0">
        <references count="1">
          <reference field="4294967294" count="1" selected="0">
            <x v="31"/>
          </reference>
        </references>
      </pivotArea>
    </format>
    <format dxfId="1143">
      <pivotArea field="0" dataOnly="0" labelOnly="1" grandRow="1" outline="0" axis="axisRow" fieldPosition="0">
        <references count="1">
          <reference field="4294967294" count="1" selected="0">
            <x v="32"/>
          </reference>
        </references>
      </pivotArea>
    </format>
    <format dxfId="1142">
      <pivotArea field="0" dataOnly="0" labelOnly="1" grandRow="1" outline="0" axis="axisRow" fieldPosition="0">
        <references count="1">
          <reference field="4294967294" count="1" selected="0">
            <x v="33"/>
          </reference>
        </references>
      </pivotArea>
    </format>
    <format dxfId="1141">
      <pivotArea field="0" dataOnly="0" labelOnly="1" grandRow="1" outline="0" axis="axisRow" fieldPosition="0">
        <references count="1">
          <reference field="4294967294" count="1" selected="0">
            <x v="34"/>
          </reference>
        </references>
      </pivotArea>
    </format>
    <format dxfId="1140">
      <pivotArea field="0" dataOnly="0" labelOnly="1" grandRow="1" outline="0" axis="axisRow" fieldPosition="0">
        <references count="1">
          <reference field="4294967294" count="1" selected="0">
            <x v="35"/>
          </reference>
        </references>
      </pivotArea>
    </format>
    <format dxfId="1139">
      <pivotArea field="0" dataOnly="0" labelOnly="1" grandRow="1" outline="0" axis="axisRow" fieldPosition="0">
        <references count="1">
          <reference field="4294967294" count="1" selected="0">
            <x v="0"/>
          </reference>
        </references>
      </pivotArea>
    </format>
    <format dxfId="1138">
      <pivotArea field="0" dataOnly="0" labelOnly="1" grandRow="1" outline="0" axis="axisRow" fieldPosition="0">
        <references count="1">
          <reference field="4294967294" count="1" selected="0">
            <x v="1"/>
          </reference>
        </references>
      </pivotArea>
    </format>
    <format dxfId="1137">
      <pivotArea field="0" dataOnly="0" labelOnly="1" grandRow="1" outline="0" axis="axisRow" fieldPosition="0">
        <references count="1">
          <reference field="4294967294" count="1" selected="0">
            <x v="2"/>
          </reference>
        </references>
      </pivotArea>
    </format>
    <format dxfId="1136">
      <pivotArea field="0" dataOnly="0" labelOnly="1" grandRow="1" outline="0" axis="axisRow" fieldPosition="0">
        <references count="1">
          <reference field="4294967294" count="1" selected="0">
            <x v="3"/>
          </reference>
        </references>
      </pivotArea>
    </format>
    <format dxfId="1135">
      <pivotArea field="0" dataOnly="0" labelOnly="1" grandRow="1" outline="0" axis="axisRow" fieldPosition="0">
        <references count="1">
          <reference field="4294967294" count="1" selected="0">
            <x v="4"/>
          </reference>
        </references>
      </pivotArea>
    </format>
    <format dxfId="1134">
      <pivotArea field="0" dataOnly="0" labelOnly="1" grandRow="1" outline="0" axis="axisRow" fieldPosition="0">
        <references count="1">
          <reference field="4294967294" count="1" selected="0">
            <x v="5"/>
          </reference>
        </references>
      </pivotArea>
    </format>
    <format dxfId="1133">
      <pivotArea field="0" dataOnly="0" labelOnly="1" grandRow="1" outline="0" axis="axisRow" fieldPosition="0">
        <references count="1">
          <reference field="4294967294" count="1" selected="0">
            <x v="6"/>
          </reference>
        </references>
      </pivotArea>
    </format>
    <format dxfId="1132">
      <pivotArea field="0" dataOnly="0" labelOnly="1" grandRow="1" outline="0" axis="axisRow" fieldPosition="0">
        <references count="1">
          <reference field="4294967294" count="1" selected="0">
            <x v="7"/>
          </reference>
        </references>
      </pivotArea>
    </format>
    <format dxfId="1131">
      <pivotArea field="0" dataOnly="0" labelOnly="1" grandRow="1" outline="0" axis="axisRow" fieldPosition="0">
        <references count="1">
          <reference field="4294967294" count="1" selected="0">
            <x v="8"/>
          </reference>
        </references>
      </pivotArea>
    </format>
    <format dxfId="1130">
      <pivotArea field="0" dataOnly="0" labelOnly="1" grandRow="1" outline="0" axis="axisRow" fieldPosition="0">
        <references count="1">
          <reference field="4294967294" count="1" selected="0">
            <x v="9"/>
          </reference>
        </references>
      </pivotArea>
    </format>
    <format dxfId="1129">
      <pivotArea field="0" dataOnly="0" labelOnly="1" grandRow="1" outline="0" axis="axisRow" fieldPosition="0">
        <references count="1">
          <reference field="4294967294" count="1" selected="0">
            <x v="10"/>
          </reference>
        </references>
      </pivotArea>
    </format>
    <format dxfId="1128">
      <pivotArea field="0" dataOnly="0" labelOnly="1" grandRow="1" outline="0" axis="axisRow" fieldPosition="0">
        <references count="1">
          <reference field="4294967294" count="1" selected="0">
            <x v="11"/>
          </reference>
        </references>
      </pivotArea>
    </format>
    <format dxfId="1127">
      <pivotArea field="0" dataOnly="0" labelOnly="1" grandRow="1" outline="0" axis="axisRow" fieldPosition="0">
        <references count="1">
          <reference field="4294967294" count="1" selected="0">
            <x v="12"/>
          </reference>
        </references>
      </pivotArea>
    </format>
    <format dxfId="1126">
      <pivotArea field="0" dataOnly="0" labelOnly="1" grandRow="1" outline="0" axis="axisRow" fieldPosition="0">
        <references count="1">
          <reference field="4294967294" count="1" selected="0">
            <x v="13"/>
          </reference>
        </references>
      </pivotArea>
    </format>
    <format dxfId="1125">
      <pivotArea field="0" dataOnly="0" labelOnly="1" grandRow="1" outline="0" axis="axisRow" fieldPosition="0">
        <references count="1">
          <reference field="4294967294" count="1" selected="0">
            <x v="14"/>
          </reference>
        </references>
      </pivotArea>
    </format>
    <format dxfId="1124">
      <pivotArea field="0" dataOnly="0" labelOnly="1" grandRow="1" outline="0" axis="axisRow" fieldPosition="0">
        <references count="1">
          <reference field="4294967294" count="1" selected="0">
            <x v="15"/>
          </reference>
        </references>
      </pivotArea>
    </format>
    <format dxfId="1123">
      <pivotArea field="0" dataOnly="0" labelOnly="1" grandRow="1" outline="0" axis="axisRow" fieldPosition="0">
        <references count="1">
          <reference field="4294967294" count="1" selected="0">
            <x v="16"/>
          </reference>
        </references>
      </pivotArea>
    </format>
    <format dxfId="1122">
      <pivotArea field="0" dataOnly="0" labelOnly="1" grandRow="1" outline="0" axis="axisRow" fieldPosition="0">
        <references count="1">
          <reference field="4294967294" count="1" selected="0">
            <x v="17"/>
          </reference>
        </references>
      </pivotArea>
    </format>
    <format dxfId="1121">
      <pivotArea field="0" dataOnly="0" labelOnly="1" grandRow="1" outline="0" axis="axisRow" fieldPosition="0">
        <references count="1">
          <reference field="4294967294" count="1" selected="0">
            <x v="18"/>
          </reference>
        </references>
      </pivotArea>
    </format>
    <format dxfId="1120">
      <pivotArea field="0" dataOnly="0" labelOnly="1" grandRow="1" outline="0" axis="axisRow" fieldPosition="0">
        <references count="1">
          <reference field="4294967294" count="1" selected="0">
            <x v="19"/>
          </reference>
        </references>
      </pivotArea>
    </format>
    <format dxfId="1119">
      <pivotArea field="0" dataOnly="0" labelOnly="1" grandRow="1" outline="0" axis="axisRow" fieldPosition="0">
        <references count="1">
          <reference field="4294967294" count="1" selected="0">
            <x v="20"/>
          </reference>
        </references>
      </pivotArea>
    </format>
    <format dxfId="1118">
      <pivotArea field="0" dataOnly="0" labelOnly="1" grandRow="1" outline="0" axis="axisRow" fieldPosition="0">
        <references count="1">
          <reference field="4294967294" count="1" selected="0">
            <x v="21"/>
          </reference>
        </references>
      </pivotArea>
    </format>
    <format dxfId="1117">
      <pivotArea field="0" dataOnly="0" labelOnly="1" grandRow="1" outline="0" axis="axisRow" fieldPosition="0">
        <references count="1">
          <reference field="4294967294" count="1" selected="0">
            <x v="22"/>
          </reference>
        </references>
      </pivotArea>
    </format>
    <format dxfId="1116">
      <pivotArea field="0" dataOnly="0" labelOnly="1" grandRow="1" outline="0" axis="axisRow" fieldPosition="0">
        <references count="1">
          <reference field="4294967294" count="1" selected="0">
            <x v="23"/>
          </reference>
        </references>
      </pivotArea>
    </format>
    <format dxfId="1115">
      <pivotArea field="0" dataOnly="0" labelOnly="1" grandRow="1" outline="0" axis="axisRow" fieldPosition="0">
        <references count="1">
          <reference field="4294967294" count="1" selected="0">
            <x v="24"/>
          </reference>
        </references>
      </pivotArea>
    </format>
    <format dxfId="1114">
      <pivotArea field="0" dataOnly="0" labelOnly="1" grandRow="1" outline="0" axis="axisRow" fieldPosition="0">
        <references count="1">
          <reference field="4294967294" count="1" selected="0">
            <x v="25"/>
          </reference>
        </references>
      </pivotArea>
    </format>
    <format dxfId="1113">
      <pivotArea field="0" dataOnly="0" labelOnly="1" grandRow="1" outline="0" axis="axisRow" fieldPosition="0">
        <references count="1">
          <reference field="4294967294" count="1" selected="0">
            <x v="26"/>
          </reference>
        </references>
      </pivotArea>
    </format>
    <format dxfId="1112">
      <pivotArea field="0" dataOnly="0" labelOnly="1" grandRow="1" outline="0" axis="axisRow" fieldPosition="0">
        <references count="1">
          <reference field="4294967294" count="1" selected="0">
            <x v="27"/>
          </reference>
        </references>
      </pivotArea>
    </format>
    <format dxfId="1111">
      <pivotArea field="0" dataOnly="0" labelOnly="1" grandRow="1" outline="0" axis="axisRow" fieldPosition="0">
        <references count="1">
          <reference field="4294967294" count="1" selected="0">
            <x v="28"/>
          </reference>
        </references>
      </pivotArea>
    </format>
    <format dxfId="1110">
      <pivotArea field="0" dataOnly="0" labelOnly="1" grandRow="1" outline="0" axis="axisRow" fieldPosition="0">
        <references count="1">
          <reference field="4294967294" count="1" selected="0">
            <x v="29"/>
          </reference>
        </references>
      </pivotArea>
    </format>
    <format dxfId="1109">
      <pivotArea field="0" dataOnly="0" labelOnly="1" grandRow="1" outline="0" axis="axisRow" fieldPosition="0">
        <references count="1">
          <reference field="4294967294" count="1" selected="0">
            <x v="30"/>
          </reference>
        </references>
      </pivotArea>
    </format>
    <format dxfId="1108">
      <pivotArea field="0" dataOnly="0" labelOnly="1" grandRow="1" outline="0" axis="axisRow" fieldPosition="0">
        <references count="1">
          <reference field="4294967294" count="1" selected="0">
            <x v="31"/>
          </reference>
        </references>
      </pivotArea>
    </format>
    <format dxfId="1107">
      <pivotArea field="0" dataOnly="0" labelOnly="1" grandRow="1" outline="0" axis="axisRow" fieldPosition="0">
        <references count="1">
          <reference field="4294967294" count="1" selected="0">
            <x v="32"/>
          </reference>
        </references>
      </pivotArea>
    </format>
    <format dxfId="1106">
      <pivotArea field="0" dataOnly="0" labelOnly="1" grandRow="1" outline="0" axis="axisRow" fieldPosition="0">
        <references count="1">
          <reference field="4294967294" count="1" selected="0">
            <x v="33"/>
          </reference>
        </references>
      </pivotArea>
    </format>
    <format dxfId="1105">
      <pivotArea field="0" dataOnly="0" labelOnly="1" grandRow="1" outline="0" axis="axisRow" fieldPosition="0">
        <references count="1">
          <reference field="4294967294" count="1" selected="0">
            <x v="34"/>
          </reference>
        </references>
      </pivotArea>
    </format>
    <format dxfId="1104">
      <pivotArea field="0" dataOnly="0" labelOnly="1" grandRow="1" outline="0" axis="axisRow" fieldPosition="0">
        <references count="1">
          <reference field="4294967294" count="1" selected="0">
            <x v="35"/>
          </reference>
        </references>
      </pivotArea>
    </format>
    <format dxfId="1103">
      <pivotArea field="0" dataOnly="0" labelOnly="1" grandRow="1" outline="0" axis="axisRow" fieldPosition="0">
        <references count="1">
          <reference field="4294967294" count="1" selected="0">
            <x v="0"/>
          </reference>
        </references>
      </pivotArea>
    </format>
    <format dxfId="1102">
      <pivotArea field="0" dataOnly="0" labelOnly="1" grandRow="1" outline="0" axis="axisRow" fieldPosition="0">
        <references count="1">
          <reference field="4294967294" count="1" selected="0">
            <x v="1"/>
          </reference>
        </references>
      </pivotArea>
    </format>
    <format dxfId="1101">
      <pivotArea field="0" dataOnly="0" labelOnly="1" grandRow="1" outline="0" axis="axisRow" fieldPosition="0">
        <references count="1">
          <reference field="4294967294" count="1" selected="0">
            <x v="2"/>
          </reference>
        </references>
      </pivotArea>
    </format>
    <format dxfId="1100">
      <pivotArea field="0" dataOnly="0" labelOnly="1" grandRow="1" outline="0" axis="axisRow" fieldPosition="0">
        <references count="1">
          <reference field="4294967294" count="1" selected="0">
            <x v="3"/>
          </reference>
        </references>
      </pivotArea>
    </format>
    <format dxfId="1099">
      <pivotArea field="0" dataOnly="0" labelOnly="1" grandRow="1" outline="0" axis="axisRow" fieldPosition="0">
        <references count="1">
          <reference field="4294967294" count="1" selected="0">
            <x v="4"/>
          </reference>
        </references>
      </pivotArea>
    </format>
    <format dxfId="1098">
      <pivotArea field="0" dataOnly="0" labelOnly="1" grandRow="1" outline="0" axis="axisRow" fieldPosition="0">
        <references count="1">
          <reference field="4294967294" count="1" selected="0">
            <x v="5"/>
          </reference>
        </references>
      </pivotArea>
    </format>
    <format dxfId="1097">
      <pivotArea field="0" dataOnly="0" labelOnly="1" grandRow="1" outline="0" axis="axisRow" fieldPosition="0">
        <references count="1">
          <reference field="4294967294" count="1" selected="0">
            <x v="6"/>
          </reference>
        </references>
      </pivotArea>
    </format>
    <format dxfId="1096">
      <pivotArea field="0" dataOnly="0" labelOnly="1" grandRow="1" outline="0" axis="axisRow" fieldPosition="0">
        <references count="1">
          <reference field="4294967294" count="1" selected="0">
            <x v="7"/>
          </reference>
        </references>
      </pivotArea>
    </format>
    <format dxfId="1095">
      <pivotArea field="0" dataOnly="0" labelOnly="1" grandRow="1" outline="0" axis="axisRow" fieldPosition="0">
        <references count="1">
          <reference field="4294967294" count="1" selected="0">
            <x v="8"/>
          </reference>
        </references>
      </pivotArea>
    </format>
    <format dxfId="1094">
      <pivotArea field="0" dataOnly="0" labelOnly="1" grandRow="1" outline="0" axis="axisRow" fieldPosition="0">
        <references count="1">
          <reference field="4294967294" count="1" selected="0">
            <x v="9"/>
          </reference>
        </references>
      </pivotArea>
    </format>
    <format dxfId="1093">
      <pivotArea field="0" dataOnly="0" labelOnly="1" grandRow="1" outline="0" axis="axisRow" fieldPosition="0">
        <references count="1">
          <reference field="4294967294" count="1" selected="0">
            <x v="10"/>
          </reference>
        </references>
      </pivotArea>
    </format>
    <format dxfId="1092">
      <pivotArea field="0" dataOnly="0" labelOnly="1" grandRow="1" outline="0" axis="axisRow" fieldPosition="0">
        <references count="1">
          <reference field="4294967294" count="1" selected="0">
            <x v="11"/>
          </reference>
        </references>
      </pivotArea>
    </format>
    <format dxfId="1091">
      <pivotArea field="0" dataOnly="0" labelOnly="1" grandRow="1" outline="0" axis="axisRow" fieldPosition="0">
        <references count="1">
          <reference field="4294967294" count="1" selected="0">
            <x v="12"/>
          </reference>
        </references>
      </pivotArea>
    </format>
    <format dxfId="1090">
      <pivotArea field="0" dataOnly="0" labelOnly="1" grandRow="1" outline="0" axis="axisRow" fieldPosition="0">
        <references count="1">
          <reference field="4294967294" count="1" selected="0">
            <x v="13"/>
          </reference>
        </references>
      </pivotArea>
    </format>
    <format dxfId="1089">
      <pivotArea field="0" dataOnly="0" labelOnly="1" grandRow="1" outline="0" axis="axisRow" fieldPosition="0">
        <references count="1">
          <reference field="4294967294" count="1" selected="0">
            <x v="14"/>
          </reference>
        </references>
      </pivotArea>
    </format>
    <format dxfId="1088">
      <pivotArea field="0" dataOnly="0" labelOnly="1" grandRow="1" outline="0" axis="axisRow" fieldPosition="0">
        <references count="1">
          <reference field="4294967294" count="1" selected="0">
            <x v="15"/>
          </reference>
        </references>
      </pivotArea>
    </format>
    <format dxfId="1087">
      <pivotArea field="0" dataOnly="0" labelOnly="1" grandRow="1" outline="0" axis="axisRow" fieldPosition="0">
        <references count="1">
          <reference field="4294967294" count="1" selected="0">
            <x v="16"/>
          </reference>
        </references>
      </pivotArea>
    </format>
    <format dxfId="1086">
      <pivotArea field="0" dataOnly="0" labelOnly="1" grandRow="1" outline="0" axis="axisRow" fieldPosition="0">
        <references count="1">
          <reference field="4294967294" count="1" selected="0">
            <x v="17"/>
          </reference>
        </references>
      </pivotArea>
    </format>
    <format dxfId="1085">
      <pivotArea field="0" dataOnly="0" labelOnly="1" grandRow="1" outline="0" axis="axisRow" fieldPosition="0">
        <references count="1">
          <reference field="4294967294" count="1" selected="0">
            <x v="18"/>
          </reference>
        </references>
      </pivotArea>
    </format>
    <format dxfId="1084">
      <pivotArea field="0" dataOnly="0" labelOnly="1" grandRow="1" outline="0" axis="axisRow" fieldPosition="0">
        <references count="1">
          <reference field="4294967294" count="1" selected="0">
            <x v="19"/>
          </reference>
        </references>
      </pivotArea>
    </format>
    <format dxfId="1083">
      <pivotArea field="0" dataOnly="0" labelOnly="1" grandRow="1" outline="0" axis="axisRow" fieldPosition="0">
        <references count="1">
          <reference field="4294967294" count="1" selected="0">
            <x v="20"/>
          </reference>
        </references>
      </pivotArea>
    </format>
    <format dxfId="1082">
      <pivotArea field="0" dataOnly="0" labelOnly="1" grandRow="1" outline="0" axis="axisRow" fieldPosition="0">
        <references count="1">
          <reference field="4294967294" count="1" selected="0">
            <x v="21"/>
          </reference>
        </references>
      </pivotArea>
    </format>
    <format dxfId="1081">
      <pivotArea field="0" dataOnly="0" labelOnly="1" grandRow="1" outline="0" axis="axisRow" fieldPosition="0">
        <references count="1">
          <reference field="4294967294" count="1" selected="0">
            <x v="22"/>
          </reference>
        </references>
      </pivotArea>
    </format>
    <format dxfId="1080">
      <pivotArea field="0" dataOnly="0" labelOnly="1" grandRow="1" outline="0" axis="axisRow" fieldPosition="0">
        <references count="1">
          <reference field="4294967294" count="1" selected="0">
            <x v="23"/>
          </reference>
        </references>
      </pivotArea>
    </format>
    <format dxfId="1079">
      <pivotArea field="0" dataOnly="0" labelOnly="1" grandRow="1" outline="0" axis="axisRow" fieldPosition="0">
        <references count="1">
          <reference field="4294967294" count="1" selected="0">
            <x v="24"/>
          </reference>
        </references>
      </pivotArea>
    </format>
    <format dxfId="1078">
      <pivotArea field="0" dataOnly="0" labelOnly="1" grandRow="1" outline="0" axis="axisRow" fieldPosition="0">
        <references count="1">
          <reference field="4294967294" count="1" selected="0">
            <x v="25"/>
          </reference>
        </references>
      </pivotArea>
    </format>
    <format dxfId="1077">
      <pivotArea field="0" dataOnly="0" labelOnly="1" grandRow="1" outline="0" axis="axisRow" fieldPosition="0">
        <references count="1">
          <reference field="4294967294" count="1" selected="0">
            <x v="26"/>
          </reference>
        </references>
      </pivotArea>
    </format>
    <format dxfId="1076">
      <pivotArea field="0" dataOnly="0" labelOnly="1" grandRow="1" outline="0" axis="axisRow" fieldPosition="0">
        <references count="1">
          <reference field="4294967294" count="1" selected="0">
            <x v="27"/>
          </reference>
        </references>
      </pivotArea>
    </format>
    <format dxfId="1075">
      <pivotArea field="0" dataOnly="0" labelOnly="1" grandRow="1" outline="0" axis="axisRow" fieldPosition="0">
        <references count="1">
          <reference field="4294967294" count="1" selected="0">
            <x v="28"/>
          </reference>
        </references>
      </pivotArea>
    </format>
    <format dxfId="1074">
      <pivotArea field="0" dataOnly="0" labelOnly="1" grandRow="1" outline="0" axis="axisRow" fieldPosition="0">
        <references count="1">
          <reference field="4294967294" count="1" selected="0">
            <x v="29"/>
          </reference>
        </references>
      </pivotArea>
    </format>
    <format dxfId="1073">
      <pivotArea field="0" dataOnly="0" labelOnly="1" grandRow="1" outline="0" axis="axisRow" fieldPosition="0">
        <references count="1">
          <reference field="4294967294" count="1" selected="0">
            <x v="30"/>
          </reference>
        </references>
      </pivotArea>
    </format>
    <format dxfId="1072">
      <pivotArea field="0" dataOnly="0" labelOnly="1" grandRow="1" outline="0" axis="axisRow" fieldPosition="0">
        <references count="1">
          <reference field="4294967294" count="1" selected="0">
            <x v="31"/>
          </reference>
        </references>
      </pivotArea>
    </format>
    <format dxfId="1071">
      <pivotArea field="0" dataOnly="0" labelOnly="1" grandRow="1" outline="0" axis="axisRow" fieldPosition="0">
        <references count="1">
          <reference field="4294967294" count="1" selected="0">
            <x v="32"/>
          </reference>
        </references>
      </pivotArea>
    </format>
    <format dxfId="1070">
      <pivotArea field="0" dataOnly="0" labelOnly="1" grandRow="1" outline="0" axis="axisRow" fieldPosition="0">
        <references count="1">
          <reference field="4294967294" count="1" selected="0">
            <x v="33"/>
          </reference>
        </references>
      </pivotArea>
    </format>
    <format dxfId="1069">
      <pivotArea field="0" dataOnly="0" labelOnly="1" grandRow="1" outline="0" axis="axisRow" fieldPosition="0">
        <references count="1">
          <reference field="4294967294" count="1" selected="0">
            <x v="34"/>
          </reference>
        </references>
      </pivotArea>
    </format>
    <format dxfId="1068">
      <pivotArea field="0" dataOnly="0" labelOnly="1" grandRow="1" outline="0" axis="axisRow" fieldPosition="0">
        <references count="1">
          <reference field="4294967294" count="1" selected="0">
            <x v="35"/>
          </reference>
        </references>
      </pivotArea>
    </format>
    <format dxfId="1067">
      <pivotArea field="0" dataOnly="0" labelOnly="1" grandRow="1" outline="0" axis="axisRow" fieldPosition="0">
        <references count="1">
          <reference field="4294967294" count="1" selected="0">
            <x v="0"/>
          </reference>
        </references>
      </pivotArea>
    </format>
    <format dxfId="1066">
      <pivotArea field="0" dataOnly="0" labelOnly="1" grandRow="1" outline="0" axis="axisRow" fieldPosition="0">
        <references count="1">
          <reference field="4294967294" count="1" selected="0">
            <x v="1"/>
          </reference>
        </references>
      </pivotArea>
    </format>
    <format dxfId="1065">
      <pivotArea field="0" dataOnly="0" labelOnly="1" grandRow="1" outline="0" axis="axisRow" fieldPosition="0">
        <references count="1">
          <reference field="4294967294" count="1" selected="0">
            <x v="2"/>
          </reference>
        </references>
      </pivotArea>
    </format>
    <format dxfId="1064">
      <pivotArea field="0" dataOnly="0" labelOnly="1" grandRow="1" outline="0" axis="axisRow" fieldPosition="0">
        <references count="1">
          <reference field="4294967294" count="1" selected="0">
            <x v="3"/>
          </reference>
        </references>
      </pivotArea>
    </format>
    <format dxfId="1063">
      <pivotArea field="0" dataOnly="0" labelOnly="1" grandRow="1" outline="0" axis="axisRow" fieldPosition="0">
        <references count="1">
          <reference field="4294967294" count="1" selected="0">
            <x v="4"/>
          </reference>
        </references>
      </pivotArea>
    </format>
    <format dxfId="1062">
      <pivotArea field="0" dataOnly="0" labelOnly="1" grandRow="1" outline="0" axis="axisRow" fieldPosition="0">
        <references count="1">
          <reference field="4294967294" count="1" selected="0">
            <x v="5"/>
          </reference>
        </references>
      </pivotArea>
    </format>
    <format dxfId="1061">
      <pivotArea field="0" dataOnly="0" labelOnly="1" grandRow="1" outline="0" axis="axisRow" fieldPosition="0">
        <references count="1">
          <reference field="4294967294" count="1" selected="0">
            <x v="6"/>
          </reference>
        </references>
      </pivotArea>
    </format>
    <format dxfId="1060">
      <pivotArea field="0" dataOnly="0" labelOnly="1" grandRow="1" outline="0" axis="axisRow" fieldPosition="0">
        <references count="1">
          <reference field="4294967294" count="1" selected="0">
            <x v="7"/>
          </reference>
        </references>
      </pivotArea>
    </format>
    <format dxfId="1059">
      <pivotArea field="0" dataOnly="0" labelOnly="1" grandRow="1" outline="0" axis="axisRow" fieldPosition="0">
        <references count="1">
          <reference field="4294967294" count="1" selected="0">
            <x v="8"/>
          </reference>
        </references>
      </pivotArea>
    </format>
    <format dxfId="1058">
      <pivotArea field="0" dataOnly="0" labelOnly="1" grandRow="1" outline="0" axis="axisRow" fieldPosition="0">
        <references count="1">
          <reference field="4294967294" count="1" selected="0">
            <x v="9"/>
          </reference>
        </references>
      </pivotArea>
    </format>
    <format dxfId="1057">
      <pivotArea field="0" dataOnly="0" labelOnly="1" grandRow="1" outline="0" axis="axisRow" fieldPosition="0">
        <references count="1">
          <reference field="4294967294" count="1" selected="0">
            <x v="10"/>
          </reference>
        </references>
      </pivotArea>
    </format>
    <format dxfId="1056">
      <pivotArea field="0" dataOnly="0" labelOnly="1" grandRow="1" outline="0" axis="axisRow" fieldPosition="0">
        <references count="1">
          <reference field="4294967294" count="1" selected="0">
            <x v="11"/>
          </reference>
        </references>
      </pivotArea>
    </format>
    <format dxfId="1055">
      <pivotArea field="0" dataOnly="0" labelOnly="1" grandRow="1" outline="0" axis="axisRow" fieldPosition="0">
        <references count="1">
          <reference field="4294967294" count="1" selected="0">
            <x v="12"/>
          </reference>
        </references>
      </pivotArea>
    </format>
    <format dxfId="1054">
      <pivotArea field="0" dataOnly="0" labelOnly="1" grandRow="1" outline="0" axis="axisRow" fieldPosition="0">
        <references count="1">
          <reference field="4294967294" count="1" selected="0">
            <x v="13"/>
          </reference>
        </references>
      </pivotArea>
    </format>
    <format dxfId="1053">
      <pivotArea field="0" dataOnly="0" labelOnly="1" grandRow="1" outline="0" axis="axisRow" fieldPosition="0">
        <references count="1">
          <reference field="4294967294" count="1" selected="0">
            <x v="14"/>
          </reference>
        </references>
      </pivotArea>
    </format>
    <format dxfId="1052">
      <pivotArea field="0" dataOnly="0" labelOnly="1" grandRow="1" outline="0" axis="axisRow" fieldPosition="0">
        <references count="1">
          <reference field="4294967294" count="1" selected="0">
            <x v="15"/>
          </reference>
        </references>
      </pivotArea>
    </format>
    <format dxfId="1051">
      <pivotArea field="0" dataOnly="0" labelOnly="1" grandRow="1" outline="0" axis="axisRow" fieldPosition="0">
        <references count="1">
          <reference field="4294967294" count="1" selected="0">
            <x v="16"/>
          </reference>
        </references>
      </pivotArea>
    </format>
    <format dxfId="1050">
      <pivotArea field="0" dataOnly="0" labelOnly="1" grandRow="1" outline="0" axis="axisRow" fieldPosition="0">
        <references count="1">
          <reference field="4294967294" count="1" selected="0">
            <x v="17"/>
          </reference>
        </references>
      </pivotArea>
    </format>
    <format dxfId="1049">
      <pivotArea field="0" dataOnly="0" labelOnly="1" grandRow="1" outline="0" axis="axisRow" fieldPosition="0">
        <references count="1">
          <reference field="4294967294" count="1" selected="0">
            <x v="18"/>
          </reference>
        </references>
      </pivotArea>
    </format>
    <format dxfId="1048">
      <pivotArea field="0" dataOnly="0" labelOnly="1" grandRow="1" outline="0" axis="axisRow" fieldPosition="0">
        <references count="1">
          <reference field="4294967294" count="1" selected="0">
            <x v="19"/>
          </reference>
        </references>
      </pivotArea>
    </format>
    <format dxfId="1047">
      <pivotArea field="0" dataOnly="0" labelOnly="1" grandRow="1" outline="0" axis="axisRow" fieldPosition="0">
        <references count="1">
          <reference field="4294967294" count="1" selected="0">
            <x v="20"/>
          </reference>
        </references>
      </pivotArea>
    </format>
    <format dxfId="1046">
      <pivotArea field="0" dataOnly="0" labelOnly="1" grandRow="1" outline="0" axis="axisRow" fieldPosition="0">
        <references count="1">
          <reference field="4294967294" count="1" selected="0">
            <x v="21"/>
          </reference>
        </references>
      </pivotArea>
    </format>
    <format dxfId="1045">
      <pivotArea field="0" dataOnly="0" labelOnly="1" grandRow="1" outline="0" axis="axisRow" fieldPosition="0">
        <references count="1">
          <reference field="4294967294" count="1" selected="0">
            <x v="22"/>
          </reference>
        </references>
      </pivotArea>
    </format>
    <format dxfId="1044">
      <pivotArea field="0" dataOnly="0" labelOnly="1" grandRow="1" outline="0" axis="axisRow" fieldPosition="0">
        <references count="1">
          <reference field="4294967294" count="1" selected="0">
            <x v="23"/>
          </reference>
        </references>
      </pivotArea>
    </format>
    <format dxfId="1043">
      <pivotArea field="0" dataOnly="0" labelOnly="1" grandRow="1" outline="0" axis="axisRow" fieldPosition="0">
        <references count="1">
          <reference field="4294967294" count="1" selected="0">
            <x v="24"/>
          </reference>
        </references>
      </pivotArea>
    </format>
    <format dxfId="1042">
      <pivotArea field="0" dataOnly="0" labelOnly="1" grandRow="1" outline="0" axis="axisRow" fieldPosition="0">
        <references count="1">
          <reference field="4294967294" count="1" selected="0">
            <x v="25"/>
          </reference>
        </references>
      </pivotArea>
    </format>
    <format dxfId="1041">
      <pivotArea field="0" dataOnly="0" labelOnly="1" grandRow="1" outline="0" axis="axisRow" fieldPosition="0">
        <references count="1">
          <reference field="4294967294" count="1" selected="0">
            <x v="26"/>
          </reference>
        </references>
      </pivotArea>
    </format>
    <format dxfId="1040">
      <pivotArea field="0" dataOnly="0" labelOnly="1" grandRow="1" outline="0" axis="axisRow" fieldPosition="0">
        <references count="1">
          <reference field="4294967294" count="1" selected="0">
            <x v="27"/>
          </reference>
        </references>
      </pivotArea>
    </format>
    <format dxfId="1039">
      <pivotArea field="0" dataOnly="0" labelOnly="1" grandRow="1" outline="0" axis="axisRow" fieldPosition="0">
        <references count="1">
          <reference field="4294967294" count="1" selected="0">
            <x v="28"/>
          </reference>
        </references>
      </pivotArea>
    </format>
    <format dxfId="1038">
      <pivotArea field="0" dataOnly="0" labelOnly="1" grandRow="1" outline="0" axis="axisRow" fieldPosition="0">
        <references count="1">
          <reference field="4294967294" count="1" selected="0">
            <x v="29"/>
          </reference>
        </references>
      </pivotArea>
    </format>
    <format dxfId="1037">
      <pivotArea field="0" dataOnly="0" labelOnly="1" grandRow="1" outline="0" axis="axisRow" fieldPosition="0">
        <references count="1">
          <reference field="4294967294" count="1" selected="0">
            <x v="30"/>
          </reference>
        </references>
      </pivotArea>
    </format>
    <format dxfId="1036">
      <pivotArea field="0" dataOnly="0" labelOnly="1" grandRow="1" outline="0" axis="axisRow" fieldPosition="0">
        <references count="1">
          <reference field="4294967294" count="1" selected="0">
            <x v="31"/>
          </reference>
        </references>
      </pivotArea>
    </format>
    <format dxfId="1035">
      <pivotArea field="0" dataOnly="0" labelOnly="1" grandRow="1" outline="0" axis="axisRow" fieldPosition="0">
        <references count="1">
          <reference field="4294967294" count="1" selected="0">
            <x v="32"/>
          </reference>
        </references>
      </pivotArea>
    </format>
    <format dxfId="1034">
      <pivotArea field="0" dataOnly="0" labelOnly="1" grandRow="1" outline="0" axis="axisRow" fieldPosition="0">
        <references count="1">
          <reference field="4294967294" count="1" selected="0">
            <x v="33"/>
          </reference>
        </references>
      </pivotArea>
    </format>
    <format dxfId="1033">
      <pivotArea field="0" dataOnly="0" labelOnly="1" grandRow="1" outline="0" axis="axisRow" fieldPosition="0">
        <references count="1">
          <reference field="4294967294" count="1" selected="0">
            <x v="34"/>
          </reference>
        </references>
      </pivotArea>
    </format>
    <format dxfId="1032">
      <pivotArea field="0" dataOnly="0" labelOnly="1" grandRow="1" outline="0" axis="axisRow" fieldPosition="0">
        <references count="1">
          <reference field="4294967294" count="1" selected="0">
            <x v="35"/>
          </reference>
        </references>
      </pivotArea>
    </format>
    <format dxfId="1031">
      <pivotArea field="0" dataOnly="0" labelOnly="1" grandRow="1" outline="0" axis="axisRow" fieldPosition="0">
        <references count="1">
          <reference field="4294967294" count="1" selected="0">
            <x v="0"/>
          </reference>
        </references>
      </pivotArea>
    </format>
    <format dxfId="1030">
      <pivotArea field="0" dataOnly="0" labelOnly="1" grandRow="1" outline="0" axis="axisRow" fieldPosition="0">
        <references count="1">
          <reference field="4294967294" count="1" selected="0">
            <x v="1"/>
          </reference>
        </references>
      </pivotArea>
    </format>
    <format dxfId="1029">
      <pivotArea field="0" dataOnly="0" labelOnly="1" grandRow="1" outline="0" axis="axisRow" fieldPosition="0">
        <references count="1">
          <reference field="4294967294" count="1" selected="0">
            <x v="2"/>
          </reference>
        </references>
      </pivotArea>
    </format>
    <format dxfId="1028">
      <pivotArea field="0" dataOnly="0" labelOnly="1" grandRow="1" outline="0" axis="axisRow" fieldPosition="0">
        <references count="1">
          <reference field="4294967294" count="1" selected="0">
            <x v="3"/>
          </reference>
        </references>
      </pivotArea>
    </format>
    <format dxfId="1027">
      <pivotArea field="0" dataOnly="0" labelOnly="1" grandRow="1" outline="0" axis="axisRow" fieldPosition="0">
        <references count="1">
          <reference field="4294967294" count="1" selected="0">
            <x v="4"/>
          </reference>
        </references>
      </pivotArea>
    </format>
    <format dxfId="1026">
      <pivotArea field="0" dataOnly="0" labelOnly="1" grandRow="1" outline="0" axis="axisRow" fieldPosition="0">
        <references count="1">
          <reference field="4294967294" count="1" selected="0">
            <x v="5"/>
          </reference>
        </references>
      </pivotArea>
    </format>
    <format dxfId="1025">
      <pivotArea field="0" dataOnly="0" labelOnly="1" grandRow="1" outline="0" axis="axisRow" fieldPosition="0">
        <references count="1">
          <reference field="4294967294" count="1" selected="0">
            <x v="6"/>
          </reference>
        </references>
      </pivotArea>
    </format>
    <format dxfId="1024">
      <pivotArea field="0" dataOnly="0" labelOnly="1" grandRow="1" outline="0" axis="axisRow" fieldPosition="0">
        <references count="1">
          <reference field="4294967294" count="1" selected="0">
            <x v="7"/>
          </reference>
        </references>
      </pivotArea>
    </format>
    <format dxfId="1023">
      <pivotArea field="0" dataOnly="0" labelOnly="1" grandRow="1" outline="0" axis="axisRow" fieldPosition="0">
        <references count="1">
          <reference field="4294967294" count="1" selected="0">
            <x v="8"/>
          </reference>
        </references>
      </pivotArea>
    </format>
    <format dxfId="1022">
      <pivotArea field="0" dataOnly="0" labelOnly="1" grandRow="1" outline="0" axis="axisRow" fieldPosition="0">
        <references count="1">
          <reference field="4294967294" count="1" selected="0">
            <x v="9"/>
          </reference>
        </references>
      </pivotArea>
    </format>
    <format dxfId="1021">
      <pivotArea field="0" dataOnly="0" labelOnly="1" grandRow="1" outline="0" axis="axisRow" fieldPosition="0">
        <references count="1">
          <reference field="4294967294" count="1" selected="0">
            <x v="10"/>
          </reference>
        </references>
      </pivotArea>
    </format>
    <format dxfId="1020">
      <pivotArea field="0" dataOnly="0" labelOnly="1" grandRow="1" outline="0" axis="axisRow" fieldPosition="0">
        <references count="1">
          <reference field="4294967294" count="1" selected="0">
            <x v="11"/>
          </reference>
        </references>
      </pivotArea>
    </format>
    <format dxfId="1019">
      <pivotArea field="0" dataOnly="0" labelOnly="1" grandRow="1" outline="0" axis="axisRow" fieldPosition="0">
        <references count="1">
          <reference field="4294967294" count="1" selected="0">
            <x v="12"/>
          </reference>
        </references>
      </pivotArea>
    </format>
    <format dxfId="1018">
      <pivotArea field="0" dataOnly="0" labelOnly="1" grandRow="1" outline="0" axis="axisRow" fieldPosition="0">
        <references count="1">
          <reference field="4294967294" count="1" selected="0">
            <x v="13"/>
          </reference>
        </references>
      </pivotArea>
    </format>
    <format dxfId="1017">
      <pivotArea field="0" dataOnly="0" labelOnly="1" grandRow="1" outline="0" axis="axisRow" fieldPosition="0">
        <references count="1">
          <reference field="4294967294" count="1" selected="0">
            <x v="14"/>
          </reference>
        </references>
      </pivotArea>
    </format>
    <format dxfId="1016">
      <pivotArea field="0" dataOnly="0" labelOnly="1" grandRow="1" outline="0" axis="axisRow" fieldPosition="0">
        <references count="1">
          <reference field="4294967294" count="1" selected="0">
            <x v="15"/>
          </reference>
        </references>
      </pivotArea>
    </format>
    <format dxfId="1015">
      <pivotArea field="0" dataOnly="0" labelOnly="1" grandRow="1" outline="0" axis="axisRow" fieldPosition="0">
        <references count="1">
          <reference field="4294967294" count="1" selected="0">
            <x v="16"/>
          </reference>
        </references>
      </pivotArea>
    </format>
    <format dxfId="1014">
      <pivotArea field="0" dataOnly="0" labelOnly="1" grandRow="1" outline="0" axis="axisRow" fieldPosition="0">
        <references count="1">
          <reference field="4294967294" count="1" selected="0">
            <x v="17"/>
          </reference>
        </references>
      </pivotArea>
    </format>
    <format dxfId="1013">
      <pivotArea field="0" dataOnly="0" labelOnly="1" grandRow="1" outline="0" axis="axisRow" fieldPosition="0">
        <references count="1">
          <reference field="4294967294" count="1" selected="0">
            <x v="18"/>
          </reference>
        </references>
      </pivotArea>
    </format>
    <format dxfId="1012">
      <pivotArea field="0" dataOnly="0" labelOnly="1" grandRow="1" outline="0" axis="axisRow" fieldPosition="0">
        <references count="1">
          <reference field="4294967294" count="1" selected="0">
            <x v="19"/>
          </reference>
        </references>
      </pivotArea>
    </format>
    <format dxfId="1011">
      <pivotArea field="0" dataOnly="0" labelOnly="1" grandRow="1" outline="0" axis="axisRow" fieldPosition="0">
        <references count="1">
          <reference field="4294967294" count="1" selected="0">
            <x v="20"/>
          </reference>
        </references>
      </pivotArea>
    </format>
    <format dxfId="1010">
      <pivotArea field="0" dataOnly="0" labelOnly="1" grandRow="1" outline="0" axis="axisRow" fieldPosition="0">
        <references count="1">
          <reference field="4294967294" count="1" selected="0">
            <x v="21"/>
          </reference>
        </references>
      </pivotArea>
    </format>
    <format dxfId="1009">
      <pivotArea field="0" dataOnly="0" labelOnly="1" grandRow="1" outline="0" axis="axisRow" fieldPosition="0">
        <references count="1">
          <reference field="4294967294" count="1" selected="0">
            <x v="22"/>
          </reference>
        </references>
      </pivotArea>
    </format>
    <format dxfId="1008">
      <pivotArea field="0" dataOnly="0" labelOnly="1" grandRow="1" outline="0" axis="axisRow" fieldPosition="0">
        <references count="1">
          <reference field="4294967294" count="1" selected="0">
            <x v="23"/>
          </reference>
        </references>
      </pivotArea>
    </format>
    <format dxfId="1007">
      <pivotArea field="0" dataOnly="0" labelOnly="1" grandRow="1" outline="0" axis="axisRow" fieldPosition="0">
        <references count="1">
          <reference field="4294967294" count="1" selected="0">
            <x v="24"/>
          </reference>
        </references>
      </pivotArea>
    </format>
    <format dxfId="1006">
      <pivotArea field="0" dataOnly="0" labelOnly="1" grandRow="1" outline="0" axis="axisRow" fieldPosition="0">
        <references count="1">
          <reference field="4294967294" count="1" selected="0">
            <x v="25"/>
          </reference>
        </references>
      </pivotArea>
    </format>
    <format dxfId="1005">
      <pivotArea field="0" dataOnly="0" labelOnly="1" grandRow="1" outline="0" axis="axisRow" fieldPosition="0">
        <references count="1">
          <reference field="4294967294" count="1" selected="0">
            <x v="26"/>
          </reference>
        </references>
      </pivotArea>
    </format>
    <format dxfId="1004">
      <pivotArea field="0" dataOnly="0" labelOnly="1" grandRow="1" outline="0" axis="axisRow" fieldPosition="0">
        <references count="1">
          <reference field="4294967294" count="1" selected="0">
            <x v="27"/>
          </reference>
        </references>
      </pivotArea>
    </format>
    <format dxfId="1003">
      <pivotArea field="0" dataOnly="0" labelOnly="1" grandRow="1" outline="0" axis="axisRow" fieldPosition="0">
        <references count="1">
          <reference field="4294967294" count="1" selected="0">
            <x v="28"/>
          </reference>
        </references>
      </pivotArea>
    </format>
    <format dxfId="1002">
      <pivotArea field="0" dataOnly="0" labelOnly="1" grandRow="1" outline="0" axis="axisRow" fieldPosition="0">
        <references count="1">
          <reference field="4294967294" count="1" selected="0">
            <x v="29"/>
          </reference>
        </references>
      </pivotArea>
    </format>
    <format dxfId="1001">
      <pivotArea field="0" dataOnly="0" labelOnly="1" grandRow="1" outline="0" axis="axisRow" fieldPosition="0">
        <references count="1">
          <reference field="4294967294" count="1" selected="0">
            <x v="30"/>
          </reference>
        </references>
      </pivotArea>
    </format>
    <format dxfId="1000">
      <pivotArea field="0" dataOnly="0" labelOnly="1" grandRow="1" outline="0" axis="axisRow" fieldPosition="0">
        <references count="1">
          <reference field="4294967294" count="1" selected="0">
            <x v="31"/>
          </reference>
        </references>
      </pivotArea>
    </format>
    <format dxfId="999">
      <pivotArea field="0" dataOnly="0" labelOnly="1" grandRow="1" outline="0" axis="axisRow" fieldPosition="0">
        <references count="1">
          <reference field="4294967294" count="1" selected="0">
            <x v="32"/>
          </reference>
        </references>
      </pivotArea>
    </format>
    <format dxfId="998">
      <pivotArea field="0" dataOnly="0" labelOnly="1" grandRow="1" outline="0" axis="axisRow" fieldPosition="0">
        <references count="1">
          <reference field="4294967294" count="1" selected="0">
            <x v="33"/>
          </reference>
        </references>
      </pivotArea>
    </format>
    <format dxfId="997">
      <pivotArea field="0" dataOnly="0" labelOnly="1" grandRow="1" outline="0" axis="axisRow" fieldPosition="0">
        <references count="1">
          <reference field="4294967294" count="1" selected="0">
            <x v="34"/>
          </reference>
        </references>
      </pivotArea>
    </format>
    <format dxfId="996">
      <pivotArea field="0" dataOnly="0" labelOnly="1" grandRow="1" outline="0" axis="axisRow" fieldPosition="0">
        <references count="1">
          <reference field="4294967294" count="1" selected="0">
            <x v="35"/>
          </reference>
        </references>
      </pivotArea>
    </format>
    <format dxfId="995">
      <pivotArea field="0" dataOnly="0" labelOnly="1" grandRow="1" outline="0" axis="axisRow" fieldPosition="0">
        <references count="1">
          <reference field="4294967294" count="1" selected="0">
            <x v="0"/>
          </reference>
        </references>
      </pivotArea>
    </format>
    <format dxfId="994">
      <pivotArea field="0" dataOnly="0" labelOnly="1" grandRow="1" outline="0" axis="axisRow" fieldPosition="0">
        <references count="1">
          <reference field="4294967294" count="1" selected="0">
            <x v="1"/>
          </reference>
        </references>
      </pivotArea>
    </format>
    <format dxfId="993">
      <pivotArea field="0" dataOnly="0" labelOnly="1" grandRow="1" outline="0" axis="axisRow" fieldPosition="0">
        <references count="1">
          <reference field="4294967294" count="1" selected="0">
            <x v="2"/>
          </reference>
        </references>
      </pivotArea>
    </format>
    <format dxfId="992">
      <pivotArea field="0" dataOnly="0" labelOnly="1" grandRow="1" outline="0" axis="axisRow" fieldPosition="0">
        <references count="1">
          <reference field="4294967294" count="1" selected="0">
            <x v="3"/>
          </reference>
        </references>
      </pivotArea>
    </format>
    <format dxfId="991">
      <pivotArea field="0" dataOnly="0" labelOnly="1" grandRow="1" outline="0" axis="axisRow" fieldPosition="0">
        <references count="1">
          <reference field="4294967294" count="1" selected="0">
            <x v="4"/>
          </reference>
        </references>
      </pivotArea>
    </format>
    <format dxfId="990">
      <pivotArea field="0" dataOnly="0" labelOnly="1" grandRow="1" outline="0" axis="axisRow" fieldPosition="0">
        <references count="1">
          <reference field="4294967294" count="1" selected="0">
            <x v="5"/>
          </reference>
        </references>
      </pivotArea>
    </format>
    <format dxfId="989">
      <pivotArea field="0" dataOnly="0" labelOnly="1" grandRow="1" outline="0" axis="axisRow" fieldPosition="0">
        <references count="1">
          <reference field="4294967294" count="1" selected="0">
            <x v="6"/>
          </reference>
        </references>
      </pivotArea>
    </format>
    <format dxfId="988">
      <pivotArea field="0" dataOnly="0" labelOnly="1" grandRow="1" outline="0" axis="axisRow" fieldPosition="0">
        <references count="1">
          <reference field="4294967294" count="1" selected="0">
            <x v="7"/>
          </reference>
        </references>
      </pivotArea>
    </format>
    <format dxfId="987">
      <pivotArea field="0" dataOnly="0" labelOnly="1" grandRow="1" outline="0" axis="axisRow" fieldPosition="0">
        <references count="1">
          <reference field="4294967294" count="1" selected="0">
            <x v="8"/>
          </reference>
        </references>
      </pivotArea>
    </format>
    <format dxfId="986">
      <pivotArea field="0" dataOnly="0" labelOnly="1" grandRow="1" outline="0" axis="axisRow" fieldPosition="0">
        <references count="1">
          <reference field="4294967294" count="1" selected="0">
            <x v="9"/>
          </reference>
        </references>
      </pivotArea>
    </format>
    <format dxfId="985">
      <pivotArea field="0" dataOnly="0" labelOnly="1" grandRow="1" outline="0" axis="axisRow" fieldPosition="0">
        <references count="1">
          <reference field="4294967294" count="1" selected="0">
            <x v="10"/>
          </reference>
        </references>
      </pivotArea>
    </format>
    <format dxfId="984">
      <pivotArea field="0" dataOnly="0" labelOnly="1" grandRow="1" outline="0" axis="axisRow" fieldPosition="0">
        <references count="1">
          <reference field="4294967294" count="1" selected="0">
            <x v="11"/>
          </reference>
        </references>
      </pivotArea>
    </format>
    <format dxfId="983">
      <pivotArea field="0" dataOnly="0" labelOnly="1" grandRow="1" outline="0" axis="axisRow" fieldPosition="0">
        <references count="1">
          <reference field="4294967294" count="1" selected="0">
            <x v="12"/>
          </reference>
        </references>
      </pivotArea>
    </format>
    <format dxfId="982">
      <pivotArea field="0" dataOnly="0" labelOnly="1" grandRow="1" outline="0" axis="axisRow" fieldPosition="0">
        <references count="1">
          <reference field="4294967294" count="1" selected="0">
            <x v="13"/>
          </reference>
        </references>
      </pivotArea>
    </format>
    <format dxfId="981">
      <pivotArea field="0" dataOnly="0" labelOnly="1" grandRow="1" outline="0" axis="axisRow" fieldPosition="0">
        <references count="1">
          <reference field="4294967294" count="1" selected="0">
            <x v="14"/>
          </reference>
        </references>
      </pivotArea>
    </format>
    <format dxfId="980">
      <pivotArea field="0" dataOnly="0" labelOnly="1" grandRow="1" outline="0" axis="axisRow" fieldPosition="0">
        <references count="1">
          <reference field="4294967294" count="1" selected="0">
            <x v="15"/>
          </reference>
        </references>
      </pivotArea>
    </format>
    <format dxfId="979">
      <pivotArea field="0" dataOnly="0" labelOnly="1" grandRow="1" outline="0" axis="axisRow" fieldPosition="0">
        <references count="1">
          <reference field="4294967294" count="1" selected="0">
            <x v="16"/>
          </reference>
        </references>
      </pivotArea>
    </format>
    <format dxfId="978">
      <pivotArea field="0" dataOnly="0" labelOnly="1" grandRow="1" outline="0" axis="axisRow" fieldPosition="0">
        <references count="1">
          <reference field="4294967294" count="1" selected="0">
            <x v="17"/>
          </reference>
        </references>
      </pivotArea>
    </format>
    <format dxfId="977">
      <pivotArea field="0" dataOnly="0" labelOnly="1" grandRow="1" outline="0" axis="axisRow" fieldPosition="0">
        <references count="1">
          <reference field="4294967294" count="1" selected="0">
            <x v="18"/>
          </reference>
        </references>
      </pivotArea>
    </format>
    <format dxfId="976">
      <pivotArea field="0" dataOnly="0" labelOnly="1" grandRow="1" outline="0" axis="axisRow" fieldPosition="0">
        <references count="1">
          <reference field="4294967294" count="1" selected="0">
            <x v="19"/>
          </reference>
        </references>
      </pivotArea>
    </format>
    <format dxfId="975">
      <pivotArea field="0" dataOnly="0" labelOnly="1" grandRow="1" outline="0" axis="axisRow" fieldPosition="0">
        <references count="1">
          <reference field="4294967294" count="1" selected="0">
            <x v="20"/>
          </reference>
        </references>
      </pivotArea>
    </format>
    <format dxfId="974">
      <pivotArea field="0" dataOnly="0" labelOnly="1" grandRow="1" outline="0" axis="axisRow" fieldPosition="0">
        <references count="1">
          <reference field="4294967294" count="1" selected="0">
            <x v="21"/>
          </reference>
        </references>
      </pivotArea>
    </format>
    <format dxfId="973">
      <pivotArea field="0" dataOnly="0" labelOnly="1" grandRow="1" outline="0" axis="axisRow" fieldPosition="0">
        <references count="1">
          <reference field="4294967294" count="1" selected="0">
            <x v="22"/>
          </reference>
        </references>
      </pivotArea>
    </format>
    <format dxfId="972">
      <pivotArea field="0" dataOnly="0" labelOnly="1" grandRow="1" outline="0" axis="axisRow" fieldPosition="0">
        <references count="1">
          <reference field="4294967294" count="1" selected="0">
            <x v="23"/>
          </reference>
        </references>
      </pivotArea>
    </format>
    <format dxfId="971">
      <pivotArea field="0" dataOnly="0" labelOnly="1" grandRow="1" outline="0" axis="axisRow" fieldPosition="0">
        <references count="1">
          <reference field="4294967294" count="1" selected="0">
            <x v="24"/>
          </reference>
        </references>
      </pivotArea>
    </format>
    <format dxfId="970">
      <pivotArea field="0" dataOnly="0" labelOnly="1" grandRow="1" outline="0" axis="axisRow" fieldPosition="0">
        <references count="1">
          <reference field="4294967294" count="1" selected="0">
            <x v="25"/>
          </reference>
        </references>
      </pivotArea>
    </format>
    <format dxfId="969">
      <pivotArea field="0" dataOnly="0" labelOnly="1" grandRow="1" outline="0" axis="axisRow" fieldPosition="0">
        <references count="1">
          <reference field="4294967294" count="1" selected="0">
            <x v="26"/>
          </reference>
        </references>
      </pivotArea>
    </format>
    <format dxfId="968">
      <pivotArea field="0" dataOnly="0" labelOnly="1" grandRow="1" outline="0" axis="axisRow" fieldPosition="0">
        <references count="1">
          <reference field="4294967294" count="1" selected="0">
            <x v="27"/>
          </reference>
        </references>
      </pivotArea>
    </format>
    <format dxfId="967">
      <pivotArea field="0" dataOnly="0" labelOnly="1" grandRow="1" outline="0" axis="axisRow" fieldPosition="0">
        <references count="1">
          <reference field="4294967294" count="1" selected="0">
            <x v="28"/>
          </reference>
        </references>
      </pivotArea>
    </format>
    <format dxfId="966">
      <pivotArea field="0" dataOnly="0" labelOnly="1" grandRow="1" outline="0" axis="axisRow" fieldPosition="0">
        <references count="1">
          <reference field="4294967294" count="1" selected="0">
            <x v="29"/>
          </reference>
        </references>
      </pivotArea>
    </format>
    <format dxfId="965">
      <pivotArea field="0" dataOnly="0" labelOnly="1" grandRow="1" outline="0" axis="axisRow" fieldPosition="0">
        <references count="1">
          <reference field="4294967294" count="1" selected="0">
            <x v="30"/>
          </reference>
        </references>
      </pivotArea>
    </format>
    <format dxfId="964">
      <pivotArea field="0" dataOnly="0" labelOnly="1" grandRow="1" outline="0" axis="axisRow" fieldPosition="0">
        <references count="1">
          <reference field="4294967294" count="1" selected="0">
            <x v="31"/>
          </reference>
        </references>
      </pivotArea>
    </format>
    <format dxfId="963">
      <pivotArea field="0" dataOnly="0" labelOnly="1" grandRow="1" outline="0" axis="axisRow" fieldPosition="0">
        <references count="1">
          <reference field="4294967294" count="1" selected="0">
            <x v="32"/>
          </reference>
        </references>
      </pivotArea>
    </format>
    <format dxfId="962">
      <pivotArea field="0" dataOnly="0" labelOnly="1" grandRow="1" outline="0" axis="axisRow" fieldPosition="0">
        <references count="1">
          <reference field="4294967294" count="1" selected="0">
            <x v="33"/>
          </reference>
        </references>
      </pivotArea>
    </format>
    <format dxfId="961">
      <pivotArea field="0" dataOnly="0" labelOnly="1" grandRow="1" outline="0" axis="axisRow" fieldPosition="0">
        <references count="1">
          <reference field="4294967294" count="1" selected="0">
            <x v="34"/>
          </reference>
        </references>
      </pivotArea>
    </format>
    <format dxfId="960">
      <pivotArea field="0" dataOnly="0" labelOnly="1" grandRow="1" outline="0" axis="axisRow" fieldPosition="0">
        <references count="1">
          <reference field="4294967294" count="1" selected="0">
            <x v="35"/>
          </reference>
        </references>
      </pivotArea>
    </format>
    <format dxfId="959">
      <pivotArea field="0" dataOnly="0" labelOnly="1" grandRow="1" outline="0" axis="axisRow" fieldPosition="0">
        <references count="1">
          <reference field="4294967294" count="1" selected="0">
            <x v="0"/>
          </reference>
        </references>
      </pivotArea>
    </format>
    <format dxfId="958">
      <pivotArea field="0" dataOnly="0" labelOnly="1" grandRow="1" outline="0" axis="axisRow" fieldPosition="0">
        <references count="1">
          <reference field="4294967294" count="1" selected="0">
            <x v="1"/>
          </reference>
        </references>
      </pivotArea>
    </format>
    <format dxfId="957">
      <pivotArea field="0" dataOnly="0" labelOnly="1" grandRow="1" outline="0" axis="axisRow" fieldPosition="0">
        <references count="1">
          <reference field="4294967294" count="1" selected="0">
            <x v="2"/>
          </reference>
        </references>
      </pivotArea>
    </format>
    <format dxfId="956">
      <pivotArea field="0" dataOnly="0" labelOnly="1" grandRow="1" outline="0" axis="axisRow" fieldPosition="0">
        <references count="1">
          <reference field="4294967294" count="1" selected="0">
            <x v="3"/>
          </reference>
        </references>
      </pivotArea>
    </format>
    <format dxfId="955">
      <pivotArea field="0" dataOnly="0" labelOnly="1" grandRow="1" outline="0" axis="axisRow" fieldPosition="0">
        <references count="1">
          <reference field="4294967294" count="1" selected="0">
            <x v="4"/>
          </reference>
        </references>
      </pivotArea>
    </format>
    <format dxfId="954">
      <pivotArea field="0" dataOnly="0" labelOnly="1" grandRow="1" outline="0" axis="axisRow" fieldPosition="0">
        <references count="1">
          <reference field="4294967294" count="1" selected="0">
            <x v="5"/>
          </reference>
        </references>
      </pivotArea>
    </format>
    <format dxfId="953">
      <pivotArea field="0" dataOnly="0" labelOnly="1" grandRow="1" outline="0" axis="axisRow" fieldPosition="0">
        <references count="1">
          <reference field="4294967294" count="1" selected="0">
            <x v="6"/>
          </reference>
        </references>
      </pivotArea>
    </format>
    <format dxfId="952">
      <pivotArea field="0" dataOnly="0" labelOnly="1" grandRow="1" outline="0" axis="axisRow" fieldPosition="0">
        <references count="1">
          <reference field="4294967294" count="1" selected="0">
            <x v="7"/>
          </reference>
        </references>
      </pivotArea>
    </format>
    <format dxfId="951">
      <pivotArea field="0" dataOnly="0" labelOnly="1" grandRow="1" outline="0" axis="axisRow" fieldPosition="0">
        <references count="1">
          <reference field="4294967294" count="1" selected="0">
            <x v="8"/>
          </reference>
        </references>
      </pivotArea>
    </format>
    <format dxfId="950">
      <pivotArea field="0" dataOnly="0" labelOnly="1" grandRow="1" outline="0" axis="axisRow" fieldPosition="0">
        <references count="1">
          <reference field="4294967294" count="1" selected="0">
            <x v="9"/>
          </reference>
        </references>
      </pivotArea>
    </format>
    <format dxfId="949">
      <pivotArea field="0" dataOnly="0" labelOnly="1" grandRow="1" outline="0" axis="axisRow" fieldPosition="0">
        <references count="1">
          <reference field="4294967294" count="1" selected="0">
            <x v="10"/>
          </reference>
        </references>
      </pivotArea>
    </format>
    <format dxfId="948">
      <pivotArea field="0" dataOnly="0" labelOnly="1" grandRow="1" outline="0" axis="axisRow" fieldPosition="0">
        <references count="1">
          <reference field="4294967294" count="1" selected="0">
            <x v="11"/>
          </reference>
        </references>
      </pivotArea>
    </format>
    <format dxfId="947">
      <pivotArea field="0" dataOnly="0" labelOnly="1" grandRow="1" outline="0" axis="axisRow" fieldPosition="0">
        <references count="1">
          <reference field="4294967294" count="1" selected="0">
            <x v="12"/>
          </reference>
        </references>
      </pivotArea>
    </format>
    <format dxfId="946">
      <pivotArea field="0" dataOnly="0" labelOnly="1" grandRow="1" outline="0" axis="axisRow" fieldPosition="0">
        <references count="1">
          <reference field="4294967294" count="1" selected="0">
            <x v="13"/>
          </reference>
        </references>
      </pivotArea>
    </format>
    <format dxfId="945">
      <pivotArea field="0" dataOnly="0" labelOnly="1" grandRow="1" outline="0" axis="axisRow" fieldPosition="0">
        <references count="1">
          <reference field="4294967294" count="1" selected="0">
            <x v="14"/>
          </reference>
        </references>
      </pivotArea>
    </format>
    <format dxfId="944">
      <pivotArea field="0" dataOnly="0" labelOnly="1" grandRow="1" outline="0" axis="axisRow" fieldPosition="0">
        <references count="1">
          <reference field="4294967294" count="1" selected="0">
            <x v="15"/>
          </reference>
        </references>
      </pivotArea>
    </format>
    <format dxfId="943">
      <pivotArea field="0" dataOnly="0" labelOnly="1" grandRow="1" outline="0" axis="axisRow" fieldPosition="0">
        <references count="1">
          <reference field="4294967294" count="1" selected="0">
            <x v="16"/>
          </reference>
        </references>
      </pivotArea>
    </format>
    <format dxfId="942">
      <pivotArea field="0" dataOnly="0" labelOnly="1" grandRow="1" outline="0" axis="axisRow" fieldPosition="0">
        <references count="1">
          <reference field="4294967294" count="1" selected="0">
            <x v="17"/>
          </reference>
        </references>
      </pivotArea>
    </format>
    <format dxfId="941">
      <pivotArea field="0" dataOnly="0" labelOnly="1" grandRow="1" outline="0" axis="axisRow" fieldPosition="0">
        <references count="1">
          <reference field="4294967294" count="1" selected="0">
            <x v="18"/>
          </reference>
        </references>
      </pivotArea>
    </format>
    <format dxfId="940">
      <pivotArea field="0" dataOnly="0" labelOnly="1" grandRow="1" outline="0" axis="axisRow" fieldPosition="0">
        <references count="1">
          <reference field="4294967294" count="1" selected="0">
            <x v="19"/>
          </reference>
        </references>
      </pivotArea>
    </format>
    <format dxfId="939">
      <pivotArea field="0" dataOnly="0" labelOnly="1" grandRow="1" outline="0" axis="axisRow" fieldPosition="0">
        <references count="1">
          <reference field="4294967294" count="1" selected="0">
            <x v="20"/>
          </reference>
        </references>
      </pivotArea>
    </format>
    <format dxfId="938">
      <pivotArea field="0" dataOnly="0" labelOnly="1" grandRow="1" outline="0" axis="axisRow" fieldPosition="0">
        <references count="1">
          <reference field="4294967294" count="1" selected="0">
            <x v="21"/>
          </reference>
        </references>
      </pivotArea>
    </format>
    <format dxfId="937">
      <pivotArea field="0" dataOnly="0" labelOnly="1" grandRow="1" outline="0" axis="axisRow" fieldPosition="0">
        <references count="1">
          <reference field="4294967294" count="1" selected="0">
            <x v="22"/>
          </reference>
        </references>
      </pivotArea>
    </format>
    <format dxfId="936">
      <pivotArea field="0" dataOnly="0" labelOnly="1" grandRow="1" outline="0" axis="axisRow" fieldPosition="0">
        <references count="1">
          <reference field="4294967294" count="1" selected="0">
            <x v="23"/>
          </reference>
        </references>
      </pivotArea>
    </format>
    <format dxfId="935">
      <pivotArea field="0" dataOnly="0" labelOnly="1" grandRow="1" outline="0" axis="axisRow" fieldPosition="0">
        <references count="1">
          <reference field="4294967294" count="1" selected="0">
            <x v="24"/>
          </reference>
        </references>
      </pivotArea>
    </format>
    <format dxfId="934">
      <pivotArea field="0" dataOnly="0" labelOnly="1" grandRow="1" outline="0" axis="axisRow" fieldPosition="0">
        <references count="1">
          <reference field="4294967294" count="1" selected="0">
            <x v="25"/>
          </reference>
        </references>
      </pivotArea>
    </format>
    <format dxfId="933">
      <pivotArea field="0" dataOnly="0" labelOnly="1" grandRow="1" outline="0" axis="axisRow" fieldPosition="0">
        <references count="1">
          <reference field="4294967294" count="1" selected="0">
            <x v="26"/>
          </reference>
        </references>
      </pivotArea>
    </format>
    <format dxfId="932">
      <pivotArea field="0" dataOnly="0" labelOnly="1" grandRow="1" outline="0" axis="axisRow" fieldPosition="0">
        <references count="1">
          <reference field="4294967294" count="1" selected="0">
            <x v="27"/>
          </reference>
        </references>
      </pivotArea>
    </format>
    <format dxfId="931">
      <pivotArea field="0" dataOnly="0" labelOnly="1" grandRow="1" outline="0" axis="axisRow" fieldPosition="0">
        <references count="1">
          <reference field="4294967294" count="1" selected="0">
            <x v="28"/>
          </reference>
        </references>
      </pivotArea>
    </format>
    <format dxfId="930">
      <pivotArea field="0" dataOnly="0" labelOnly="1" grandRow="1" outline="0" axis="axisRow" fieldPosition="0">
        <references count="1">
          <reference field="4294967294" count="1" selected="0">
            <x v="29"/>
          </reference>
        </references>
      </pivotArea>
    </format>
    <format dxfId="929">
      <pivotArea field="0" dataOnly="0" labelOnly="1" grandRow="1" outline="0" axis="axisRow" fieldPosition="0">
        <references count="1">
          <reference field="4294967294" count="1" selected="0">
            <x v="30"/>
          </reference>
        </references>
      </pivotArea>
    </format>
    <format dxfId="928">
      <pivotArea field="0" dataOnly="0" labelOnly="1" grandRow="1" outline="0" axis="axisRow" fieldPosition="0">
        <references count="1">
          <reference field="4294967294" count="1" selected="0">
            <x v="31"/>
          </reference>
        </references>
      </pivotArea>
    </format>
    <format dxfId="927">
      <pivotArea field="0" dataOnly="0" labelOnly="1" grandRow="1" outline="0" axis="axisRow" fieldPosition="0">
        <references count="1">
          <reference field="4294967294" count="1" selected="0">
            <x v="32"/>
          </reference>
        </references>
      </pivotArea>
    </format>
    <format dxfId="926">
      <pivotArea field="0" dataOnly="0" labelOnly="1" grandRow="1" outline="0" axis="axisRow" fieldPosition="0">
        <references count="1">
          <reference field="4294967294" count="1" selected="0">
            <x v="33"/>
          </reference>
        </references>
      </pivotArea>
    </format>
    <format dxfId="925">
      <pivotArea field="0" dataOnly="0" labelOnly="1" grandRow="1" outline="0" axis="axisRow" fieldPosition="0">
        <references count="1">
          <reference field="4294967294" count="1" selected="0">
            <x v="34"/>
          </reference>
        </references>
      </pivotArea>
    </format>
    <format dxfId="924">
      <pivotArea field="0" dataOnly="0" labelOnly="1" grandRow="1" outline="0" axis="axisRow" fieldPosition="0">
        <references count="1">
          <reference field="4294967294" count="1" selected="0">
            <x v="35"/>
          </reference>
        </references>
      </pivotArea>
    </format>
    <format dxfId="923">
      <pivotArea field="0" dataOnly="0" labelOnly="1" grandRow="1" outline="0" axis="axisRow" fieldPosition="0">
        <references count="1">
          <reference field="4294967294" count="1" selected="0">
            <x v="0"/>
          </reference>
        </references>
      </pivotArea>
    </format>
    <format dxfId="922">
      <pivotArea field="0" dataOnly="0" labelOnly="1" grandRow="1" outline="0" axis="axisRow" fieldPosition="0">
        <references count="1">
          <reference field="4294967294" count="1" selected="0">
            <x v="1"/>
          </reference>
        </references>
      </pivotArea>
    </format>
    <format dxfId="921">
      <pivotArea field="0" dataOnly="0" labelOnly="1" grandRow="1" outline="0" axis="axisRow" fieldPosition="0">
        <references count="1">
          <reference field="4294967294" count="1" selected="0">
            <x v="2"/>
          </reference>
        </references>
      </pivotArea>
    </format>
    <format dxfId="920">
      <pivotArea field="0" dataOnly="0" labelOnly="1" grandRow="1" outline="0" axis="axisRow" fieldPosition="0">
        <references count="1">
          <reference field="4294967294" count="1" selected="0">
            <x v="3"/>
          </reference>
        </references>
      </pivotArea>
    </format>
    <format dxfId="919">
      <pivotArea field="0" dataOnly="0" labelOnly="1" grandRow="1" outline="0" axis="axisRow" fieldPosition="0">
        <references count="1">
          <reference field="4294967294" count="1" selected="0">
            <x v="4"/>
          </reference>
        </references>
      </pivotArea>
    </format>
    <format dxfId="918">
      <pivotArea field="0" dataOnly="0" labelOnly="1" grandRow="1" outline="0" axis="axisRow" fieldPosition="0">
        <references count="1">
          <reference field="4294967294" count="1" selected="0">
            <x v="5"/>
          </reference>
        </references>
      </pivotArea>
    </format>
    <format dxfId="917">
      <pivotArea field="0" dataOnly="0" labelOnly="1" grandRow="1" outline="0" axis="axisRow" fieldPosition="0">
        <references count="1">
          <reference field="4294967294" count="1" selected="0">
            <x v="6"/>
          </reference>
        </references>
      </pivotArea>
    </format>
    <format dxfId="916">
      <pivotArea field="0" dataOnly="0" labelOnly="1" grandRow="1" outline="0" axis="axisRow" fieldPosition="0">
        <references count="1">
          <reference field="4294967294" count="1" selected="0">
            <x v="7"/>
          </reference>
        </references>
      </pivotArea>
    </format>
    <format dxfId="915">
      <pivotArea field="0" dataOnly="0" labelOnly="1" grandRow="1" outline="0" axis="axisRow" fieldPosition="0">
        <references count="1">
          <reference field="4294967294" count="1" selected="0">
            <x v="8"/>
          </reference>
        </references>
      </pivotArea>
    </format>
    <format dxfId="914">
      <pivotArea field="0" dataOnly="0" labelOnly="1" grandRow="1" outline="0" axis="axisRow" fieldPosition="0">
        <references count="1">
          <reference field="4294967294" count="1" selected="0">
            <x v="9"/>
          </reference>
        </references>
      </pivotArea>
    </format>
    <format dxfId="913">
      <pivotArea field="0" dataOnly="0" labelOnly="1" grandRow="1" outline="0" axis="axisRow" fieldPosition="0">
        <references count="1">
          <reference field="4294967294" count="1" selected="0">
            <x v="10"/>
          </reference>
        </references>
      </pivotArea>
    </format>
    <format dxfId="912">
      <pivotArea field="0" dataOnly="0" labelOnly="1" grandRow="1" outline="0" axis="axisRow" fieldPosition="0">
        <references count="1">
          <reference field="4294967294" count="1" selected="0">
            <x v="11"/>
          </reference>
        </references>
      </pivotArea>
    </format>
    <format dxfId="911">
      <pivotArea field="0" dataOnly="0" labelOnly="1" grandRow="1" outline="0" axis="axisRow" fieldPosition="0">
        <references count="1">
          <reference field="4294967294" count="1" selected="0">
            <x v="12"/>
          </reference>
        </references>
      </pivotArea>
    </format>
    <format dxfId="910">
      <pivotArea field="0" dataOnly="0" labelOnly="1" grandRow="1" outline="0" axis="axisRow" fieldPosition="0">
        <references count="1">
          <reference field="4294967294" count="1" selected="0">
            <x v="13"/>
          </reference>
        </references>
      </pivotArea>
    </format>
    <format dxfId="909">
      <pivotArea field="0" dataOnly="0" labelOnly="1" grandRow="1" outline="0" axis="axisRow" fieldPosition="0">
        <references count="1">
          <reference field="4294967294" count="1" selected="0">
            <x v="14"/>
          </reference>
        </references>
      </pivotArea>
    </format>
    <format dxfId="908">
      <pivotArea field="0" dataOnly="0" labelOnly="1" grandRow="1" outline="0" axis="axisRow" fieldPosition="0">
        <references count="1">
          <reference field="4294967294" count="1" selected="0">
            <x v="15"/>
          </reference>
        </references>
      </pivotArea>
    </format>
    <format dxfId="907">
      <pivotArea field="0" dataOnly="0" labelOnly="1" grandRow="1" outline="0" axis="axisRow" fieldPosition="0">
        <references count="1">
          <reference field="4294967294" count="1" selected="0">
            <x v="16"/>
          </reference>
        </references>
      </pivotArea>
    </format>
    <format dxfId="906">
      <pivotArea field="0" dataOnly="0" labelOnly="1" grandRow="1" outline="0" axis="axisRow" fieldPosition="0">
        <references count="1">
          <reference field="4294967294" count="1" selected="0">
            <x v="17"/>
          </reference>
        </references>
      </pivotArea>
    </format>
    <format dxfId="905">
      <pivotArea field="0" dataOnly="0" labelOnly="1" grandRow="1" outline="0" axis="axisRow" fieldPosition="0">
        <references count="1">
          <reference field="4294967294" count="1" selected="0">
            <x v="18"/>
          </reference>
        </references>
      </pivotArea>
    </format>
    <format dxfId="904">
      <pivotArea field="0" dataOnly="0" labelOnly="1" grandRow="1" outline="0" axis="axisRow" fieldPosition="0">
        <references count="1">
          <reference field="4294967294" count="1" selected="0">
            <x v="19"/>
          </reference>
        </references>
      </pivotArea>
    </format>
    <format dxfId="903">
      <pivotArea field="0" dataOnly="0" labelOnly="1" grandRow="1" outline="0" axis="axisRow" fieldPosition="0">
        <references count="1">
          <reference field="4294967294" count="1" selected="0">
            <x v="20"/>
          </reference>
        </references>
      </pivotArea>
    </format>
    <format dxfId="902">
      <pivotArea field="0" dataOnly="0" labelOnly="1" grandRow="1" outline="0" axis="axisRow" fieldPosition="0">
        <references count="1">
          <reference field="4294967294" count="1" selected="0">
            <x v="21"/>
          </reference>
        </references>
      </pivotArea>
    </format>
    <format dxfId="901">
      <pivotArea field="0" dataOnly="0" labelOnly="1" grandRow="1" outline="0" axis="axisRow" fieldPosition="0">
        <references count="1">
          <reference field="4294967294" count="1" selected="0">
            <x v="22"/>
          </reference>
        </references>
      </pivotArea>
    </format>
    <format dxfId="900">
      <pivotArea field="0" dataOnly="0" labelOnly="1" grandRow="1" outline="0" axis="axisRow" fieldPosition="0">
        <references count="1">
          <reference field="4294967294" count="1" selected="0">
            <x v="23"/>
          </reference>
        </references>
      </pivotArea>
    </format>
    <format dxfId="899">
      <pivotArea field="0" dataOnly="0" labelOnly="1" grandRow="1" outline="0" axis="axisRow" fieldPosition="0">
        <references count="1">
          <reference field="4294967294" count="1" selected="0">
            <x v="24"/>
          </reference>
        </references>
      </pivotArea>
    </format>
    <format dxfId="898">
      <pivotArea field="0" dataOnly="0" labelOnly="1" grandRow="1" outline="0" axis="axisRow" fieldPosition="0">
        <references count="1">
          <reference field="4294967294" count="1" selected="0">
            <x v="25"/>
          </reference>
        </references>
      </pivotArea>
    </format>
    <format dxfId="897">
      <pivotArea field="0" dataOnly="0" labelOnly="1" grandRow="1" outline="0" axis="axisRow" fieldPosition="0">
        <references count="1">
          <reference field="4294967294" count="1" selected="0">
            <x v="26"/>
          </reference>
        </references>
      </pivotArea>
    </format>
    <format dxfId="896">
      <pivotArea field="0" dataOnly="0" labelOnly="1" grandRow="1" outline="0" axis="axisRow" fieldPosition="0">
        <references count="1">
          <reference field="4294967294" count="1" selected="0">
            <x v="27"/>
          </reference>
        </references>
      </pivotArea>
    </format>
    <format dxfId="895">
      <pivotArea field="0" dataOnly="0" labelOnly="1" grandRow="1" outline="0" axis="axisRow" fieldPosition="0">
        <references count="1">
          <reference field="4294967294" count="1" selected="0">
            <x v="28"/>
          </reference>
        </references>
      </pivotArea>
    </format>
    <format dxfId="894">
      <pivotArea field="0" dataOnly="0" labelOnly="1" grandRow="1" outline="0" axis="axisRow" fieldPosition="0">
        <references count="1">
          <reference field="4294967294" count="1" selected="0">
            <x v="29"/>
          </reference>
        </references>
      </pivotArea>
    </format>
    <format dxfId="893">
      <pivotArea field="0" dataOnly="0" labelOnly="1" grandRow="1" outline="0" axis="axisRow" fieldPosition="0">
        <references count="1">
          <reference field="4294967294" count="1" selected="0">
            <x v="30"/>
          </reference>
        </references>
      </pivotArea>
    </format>
    <format dxfId="892">
      <pivotArea field="0" dataOnly="0" labelOnly="1" grandRow="1" outline="0" axis="axisRow" fieldPosition="0">
        <references count="1">
          <reference field="4294967294" count="1" selected="0">
            <x v="31"/>
          </reference>
        </references>
      </pivotArea>
    </format>
    <format dxfId="891">
      <pivotArea field="0" dataOnly="0" labelOnly="1" grandRow="1" outline="0" axis="axisRow" fieldPosition="0">
        <references count="1">
          <reference field="4294967294" count="1" selected="0">
            <x v="32"/>
          </reference>
        </references>
      </pivotArea>
    </format>
    <format dxfId="890">
      <pivotArea field="0" dataOnly="0" labelOnly="1" grandRow="1" outline="0" axis="axisRow" fieldPosition="0">
        <references count="1">
          <reference field="4294967294" count="1" selected="0">
            <x v="33"/>
          </reference>
        </references>
      </pivotArea>
    </format>
    <format dxfId="889">
      <pivotArea field="0" dataOnly="0" labelOnly="1" grandRow="1" outline="0" axis="axisRow" fieldPosition="0">
        <references count="1">
          <reference field="4294967294" count="1" selected="0">
            <x v="34"/>
          </reference>
        </references>
      </pivotArea>
    </format>
    <format dxfId="888">
      <pivotArea field="0" dataOnly="0" labelOnly="1" grandRow="1" outline="0" axis="axisRow" fieldPosition="0">
        <references count="1">
          <reference field="4294967294" count="1" selected="0">
            <x v="35"/>
          </reference>
        </references>
      </pivotArea>
    </format>
    <format dxfId="887">
      <pivotArea field="0" dataOnly="0" labelOnly="1" grandRow="1" outline="0" axis="axisRow" fieldPosition="0">
        <references count="1">
          <reference field="4294967294" count="1" selected="0">
            <x v="0"/>
          </reference>
        </references>
      </pivotArea>
    </format>
    <format dxfId="886">
      <pivotArea field="0" dataOnly="0" labelOnly="1" grandRow="1" outline="0" axis="axisRow" fieldPosition="0">
        <references count="1">
          <reference field="4294967294" count="1" selected="0">
            <x v="1"/>
          </reference>
        </references>
      </pivotArea>
    </format>
    <format dxfId="885">
      <pivotArea field="0" dataOnly="0" labelOnly="1" grandRow="1" outline="0" axis="axisRow" fieldPosition="0">
        <references count="1">
          <reference field="4294967294" count="1" selected="0">
            <x v="2"/>
          </reference>
        </references>
      </pivotArea>
    </format>
    <format dxfId="884">
      <pivotArea field="0" dataOnly="0" labelOnly="1" grandRow="1" outline="0" axis="axisRow" fieldPosition="0">
        <references count="1">
          <reference field="4294967294" count="1" selected="0">
            <x v="3"/>
          </reference>
        </references>
      </pivotArea>
    </format>
    <format dxfId="883">
      <pivotArea field="0" dataOnly="0" labelOnly="1" grandRow="1" outline="0" axis="axisRow" fieldPosition="0">
        <references count="1">
          <reference field="4294967294" count="1" selected="0">
            <x v="4"/>
          </reference>
        </references>
      </pivotArea>
    </format>
    <format dxfId="882">
      <pivotArea field="0" dataOnly="0" labelOnly="1" grandRow="1" outline="0" axis="axisRow" fieldPosition="0">
        <references count="1">
          <reference field="4294967294" count="1" selected="0">
            <x v="5"/>
          </reference>
        </references>
      </pivotArea>
    </format>
    <format dxfId="881">
      <pivotArea field="0" dataOnly="0" labelOnly="1" grandRow="1" outline="0" axis="axisRow" fieldPosition="0">
        <references count="1">
          <reference field="4294967294" count="1" selected="0">
            <x v="6"/>
          </reference>
        </references>
      </pivotArea>
    </format>
    <format dxfId="880">
      <pivotArea field="0" dataOnly="0" labelOnly="1" grandRow="1" outline="0" axis="axisRow" fieldPosition="0">
        <references count="1">
          <reference field="4294967294" count="1" selected="0">
            <x v="7"/>
          </reference>
        </references>
      </pivotArea>
    </format>
    <format dxfId="879">
      <pivotArea field="0" dataOnly="0" labelOnly="1" grandRow="1" outline="0" axis="axisRow" fieldPosition="0">
        <references count="1">
          <reference field="4294967294" count="1" selected="0">
            <x v="8"/>
          </reference>
        </references>
      </pivotArea>
    </format>
    <format dxfId="878">
      <pivotArea field="0" dataOnly="0" labelOnly="1" grandRow="1" outline="0" axis="axisRow" fieldPosition="0">
        <references count="1">
          <reference field="4294967294" count="1" selected="0">
            <x v="9"/>
          </reference>
        </references>
      </pivotArea>
    </format>
    <format dxfId="877">
      <pivotArea field="0" dataOnly="0" labelOnly="1" grandRow="1" outline="0" axis="axisRow" fieldPosition="0">
        <references count="1">
          <reference field="4294967294" count="1" selected="0">
            <x v="10"/>
          </reference>
        </references>
      </pivotArea>
    </format>
    <format dxfId="876">
      <pivotArea field="0" dataOnly="0" labelOnly="1" grandRow="1" outline="0" axis="axisRow" fieldPosition="0">
        <references count="1">
          <reference field="4294967294" count="1" selected="0">
            <x v="11"/>
          </reference>
        </references>
      </pivotArea>
    </format>
    <format dxfId="875">
      <pivotArea field="0" dataOnly="0" labelOnly="1" grandRow="1" outline="0" axis="axisRow" fieldPosition="0">
        <references count="1">
          <reference field="4294967294" count="1" selected="0">
            <x v="12"/>
          </reference>
        </references>
      </pivotArea>
    </format>
    <format dxfId="874">
      <pivotArea field="0" dataOnly="0" labelOnly="1" grandRow="1" outline="0" axis="axisRow" fieldPosition="0">
        <references count="1">
          <reference field="4294967294" count="1" selected="0">
            <x v="13"/>
          </reference>
        </references>
      </pivotArea>
    </format>
    <format dxfId="873">
      <pivotArea field="0" dataOnly="0" labelOnly="1" grandRow="1" outline="0" axis="axisRow" fieldPosition="0">
        <references count="1">
          <reference field="4294967294" count="1" selected="0">
            <x v="14"/>
          </reference>
        </references>
      </pivotArea>
    </format>
    <format dxfId="872">
      <pivotArea field="0" dataOnly="0" labelOnly="1" grandRow="1" outline="0" axis="axisRow" fieldPosition="0">
        <references count="1">
          <reference field="4294967294" count="1" selected="0">
            <x v="15"/>
          </reference>
        </references>
      </pivotArea>
    </format>
    <format dxfId="871">
      <pivotArea field="0" dataOnly="0" labelOnly="1" grandRow="1" outline="0" axis="axisRow" fieldPosition="0">
        <references count="1">
          <reference field="4294967294" count="1" selected="0">
            <x v="16"/>
          </reference>
        </references>
      </pivotArea>
    </format>
    <format dxfId="870">
      <pivotArea field="0" dataOnly="0" labelOnly="1" grandRow="1" outline="0" axis="axisRow" fieldPosition="0">
        <references count="1">
          <reference field="4294967294" count="1" selected="0">
            <x v="17"/>
          </reference>
        </references>
      </pivotArea>
    </format>
    <format dxfId="869">
      <pivotArea field="0" dataOnly="0" labelOnly="1" grandRow="1" outline="0" axis="axisRow" fieldPosition="0">
        <references count="1">
          <reference field="4294967294" count="1" selected="0">
            <x v="18"/>
          </reference>
        </references>
      </pivotArea>
    </format>
    <format dxfId="868">
      <pivotArea field="0" dataOnly="0" labelOnly="1" grandRow="1" outline="0" axis="axisRow" fieldPosition="0">
        <references count="1">
          <reference field="4294967294" count="1" selected="0">
            <x v="19"/>
          </reference>
        </references>
      </pivotArea>
    </format>
    <format dxfId="867">
      <pivotArea field="0" dataOnly="0" labelOnly="1" grandRow="1" outline="0" axis="axisRow" fieldPosition="0">
        <references count="1">
          <reference field="4294967294" count="1" selected="0">
            <x v="20"/>
          </reference>
        </references>
      </pivotArea>
    </format>
    <format dxfId="866">
      <pivotArea field="0" dataOnly="0" labelOnly="1" grandRow="1" outline="0" axis="axisRow" fieldPosition="0">
        <references count="1">
          <reference field="4294967294" count="1" selected="0">
            <x v="21"/>
          </reference>
        </references>
      </pivotArea>
    </format>
    <format dxfId="865">
      <pivotArea field="0" dataOnly="0" labelOnly="1" grandRow="1" outline="0" axis="axisRow" fieldPosition="0">
        <references count="1">
          <reference field="4294967294" count="1" selected="0">
            <x v="22"/>
          </reference>
        </references>
      </pivotArea>
    </format>
    <format dxfId="864">
      <pivotArea field="0" dataOnly="0" labelOnly="1" grandRow="1" outline="0" axis="axisRow" fieldPosition="0">
        <references count="1">
          <reference field="4294967294" count="1" selected="0">
            <x v="23"/>
          </reference>
        </references>
      </pivotArea>
    </format>
    <format dxfId="863">
      <pivotArea field="0" dataOnly="0" labelOnly="1" grandRow="1" outline="0" axis="axisRow" fieldPosition="0">
        <references count="1">
          <reference field="4294967294" count="1" selected="0">
            <x v="24"/>
          </reference>
        </references>
      </pivotArea>
    </format>
    <format dxfId="862">
      <pivotArea field="0" dataOnly="0" labelOnly="1" grandRow="1" outline="0" axis="axisRow" fieldPosition="0">
        <references count="1">
          <reference field="4294967294" count="1" selected="0">
            <x v="25"/>
          </reference>
        </references>
      </pivotArea>
    </format>
    <format dxfId="861">
      <pivotArea field="0" dataOnly="0" labelOnly="1" grandRow="1" outline="0" axis="axisRow" fieldPosition="0">
        <references count="1">
          <reference field="4294967294" count="1" selected="0">
            <x v="26"/>
          </reference>
        </references>
      </pivotArea>
    </format>
    <format dxfId="860">
      <pivotArea field="0" dataOnly="0" labelOnly="1" grandRow="1" outline="0" axis="axisRow" fieldPosition="0">
        <references count="1">
          <reference field="4294967294" count="1" selected="0">
            <x v="27"/>
          </reference>
        </references>
      </pivotArea>
    </format>
    <format dxfId="859">
      <pivotArea field="0" dataOnly="0" labelOnly="1" grandRow="1" outline="0" axis="axisRow" fieldPosition="0">
        <references count="1">
          <reference field="4294967294" count="1" selected="0">
            <x v="28"/>
          </reference>
        </references>
      </pivotArea>
    </format>
    <format dxfId="858">
      <pivotArea field="0" dataOnly="0" labelOnly="1" grandRow="1" outline="0" axis="axisRow" fieldPosition="0">
        <references count="1">
          <reference field="4294967294" count="1" selected="0">
            <x v="29"/>
          </reference>
        </references>
      </pivotArea>
    </format>
    <format dxfId="857">
      <pivotArea field="0" dataOnly="0" labelOnly="1" grandRow="1" outline="0" axis="axisRow" fieldPosition="0">
        <references count="1">
          <reference field="4294967294" count="1" selected="0">
            <x v="30"/>
          </reference>
        </references>
      </pivotArea>
    </format>
    <format dxfId="856">
      <pivotArea field="0" dataOnly="0" labelOnly="1" grandRow="1" outline="0" axis="axisRow" fieldPosition="0">
        <references count="1">
          <reference field="4294967294" count="1" selected="0">
            <x v="31"/>
          </reference>
        </references>
      </pivotArea>
    </format>
    <format dxfId="855">
      <pivotArea field="0" dataOnly="0" labelOnly="1" grandRow="1" outline="0" axis="axisRow" fieldPosition="0">
        <references count="1">
          <reference field="4294967294" count="1" selected="0">
            <x v="32"/>
          </reference>
        </references>
      </pivotArea>
    </format>
    <format dxfId="854">
      <pivotArea field="0" dataOnly="0" labelOnly="1" grandRow="1" outline="0" axis="axisRow" fieldPosition="0">
        <references count="1">
          <reference field="4294967294" count="1" selected="0">
            <x v="33"/>
          </reference>
        </references>
      </pivotArea>
    </format>
    <format dxfId="853">
      <pivotArea field="0" dataOnly="0" labelOnly="1" grandRow="1" outline="0" axis="axisRow" fieldPosition="0">
        <references count="1">
          <reference field="4294967294" count="1" selected="0">
            <x v="34"/>
          </reference>
        </references>
      </pivotArea>
    </format>
    <format dxfId="852">
      <pivotArea field="0" dataOnly="0" labelOnly="1" grandRow="1" outline="0" axis="axisRow" fieldPosition="0">
        <references count="1">
          <reference field="4294967294" count="1" selected="0">
            <x v="35"/>
          </reference>
        </references>
      </pivotArea>
    </format>
    <format dxfId="851">
      <pivotArea field="0" dataOnly="0" labelOnly="1" grandRow="1" outline="0" axis="axisRow" fieldPosition="0">
        <references count="1">
          <reference field="4294967294" count="1" selected="0">
            <x v="0"/>
          </reference>
        </references>
      </pivotArea>
    </format>
    <format dxfId="850">
      <pivotArea field="0" dataOnly="0" labelOnly="1" grandRow="1" outline="0" axis="axisRow" fieldPosition="0">
        <references count="1">
          <reference field="4294967294" count="1" selected="0">
            <x v="1"/>
          </reference>
        </references>
      </pivotArea>
    </format>
    <format dxfId="849">
      <pivotArea field="0" dataOnly="0" labelOnly="1" grandRow="1" outline="0" axis="axisRow" fieldPosition="0">
        <references count="1">
          <reference field="4294967294" count="1" selected="0">
            <x v="2"/>
          </reference>
        </references>
      </pivotArea>
    </format>
    <format dxfId="848">
      <pivotArea field="0" dataOnly="0" labelOnly="1" grandRow="1" outline="0" axis="axisRow" fieldPosition="0">
        <references count="1">
          <reference field="4294967294" count="1" selected="0">
            <x v="3"/>
          </reference>
        </references>
      </pivotArea>
    </format>
    <format dxfId="847">
      <pivotArea field="0" dataOnly="0" labelOnly="1" grandRow="1" outline="0" axis="axisRow" fieldPosition="0">
        <references count="1">
          <reference field="4294967294" count="1" selected="0">
            <x v="4"/>
          </reference>
        </references>
      </pivotArea>
    </format>
    <format dxfId="846">
      <pivotArea field="0" dataOnly="0" labelOnly="1" grandRow="1" outline="0" axis="axisRow" fieldPosition="0">
        <references count="1">
          <reference field="4294967294" count="1" selected="0">
            <x v="5"/>
          </reference>
        </references>
      </pivotArea>
    </format>
    <format dxfId="845">
      <pivotArea field="0" dataOnly="0" labelOnly="1" grandRow="1" outline="0" axis="axisRow" fieldPosition="0">
        <references count="1">
          <reference field="4294967294" count="1" selected="0">
            <x v="6"/>
          </reference>
        </references>
      </pivotArea>
    </format>
    <format dxfId="844">
      <pivotArea field="0" dataOnly="0" labelOnly="1" grandRow="1" outline="0" axis="axisRow" fieldPosition="0">
        <references count="1">
          <reference field="4294967294" count="1" selected="0">
            <x v="7"/>
          </reference>
        </references>
      </pivotArea>
    </format>
    <format dxfId="843">
      <pivotArea field="0" dataOnly="0" labelOnly="1" grandRow="1" outline="0" axis="axisRow" fieldPosition="0">
        <references count="1">
          <reference field="4294967294" count="1" selected="0">
            <x v="8"/>
          </reference>
        </references>
      </pivotArea>
    </format>
    <format dxfId="842">
      <pivotArea field="0" dataOnly="0" labelOnly="1" grandRow="1" outline="0" axis="axisRow" fieldPosition="0">
        <references count="1">
          <reference field="4294967294" count="1" selected="0">
            <x v="9"/>
          </reference>
        </references>
      </pivotArea>
    </format>
    <format dxfId="841">
      <pivotArea field="0" dataOnly="0" labelOnly="1" grandRow="1" outline="0" axis="axisRow" fieldPosition="0">
        <references count="1">
          <reference field="4294967294" count="1" selected="0">
            <x v="10"/>
          </reference>
        </references>
      </pivotArea>
    </format>
    <format dxfId="840">
      <pivotArea field="0" dataOnly="0" labelOnly="1" grandRow="1" outline="0" axis="axisRow" fieldPosition="0">
        <references count="1">
          <reference field="4294967294" count="1" selected="0">
            <x v="11"/>
          </reference>
        </references>
      </pivotArea>
    </format>
    <format dxfId="839">
      <pivotArea field="0" dataOnly="0" labelOnly="1" grandRow="1" outline="0" axis="axisRow" fieldPosition="0">
        <references count="1">
          <reference field="4294967294" count="1" selected="0">
            <x v="12"/>
          </reference>
        </references>
      </pivotArea>
    </format>
    <format dxfId="838">
      <pivotArea field="0" dataOnly="0" labelOnly="1" grandRow="1" outline="0" axis="axisRow" fieldPosition="0">
        <references count="1">
          <reference field="4294967294" count="1" selected="0">
            <x v="13"/>
          </reference>
        </references>
      </pivotArea>
    </format>
    <format dxfId="837">
      <pivotArea field="0" dataOnly="0" labelOnly="1" grandRow="1" outline="0" axis="axisRow" fieldPosition="0">
        <references count="1">
          <reference field="4294967294" count="1" selected="0">
            <x v="14"/>
          </reference>
        </references>
      </pivotArea>
    </format>
    <format dxfId="836">
      <pivotArea field="0" dataOnly="0" labelOnly="1" grandRow="1" outline="0" axis="axisRow" fieldPosition="0">
        <references count="1">
          <reference field="4294967294" count="1" selected="0">
            <x v="15"/>
          </reference>
        </references>
      </pivotArea>
    </format>
    <format dxfId="835">
      <pivotArea field="0" dataOnly="0" labelOnly="1" grandRow="1" outline="0" axis="axisRow" fieldPosition="0">
        <references count="1">
          <reference field="4294967294" count="1" selected="0">
            <x v="16"/>
          </reference>
        </references>
      </pivotArea>
    </format>
    <format dxfId="834">
      <pivotArea field="0" dataOnly="0" labelOnly="1" grandRow="1" outline="0" axis="axisRow" fieldPosition="0">
        <references count="1">
          <reference field="4294967294" count="1" selected="0">
            <x v="17"/>
          </reference>
        </references>
      </pivotArea>
    </format>
    <format dxfId="833">
      <pivotArea field="0" dataOnly="0" labelOnly="1" grandRow="1" outline="0" axis="axisRow" fieldPosition="0">
        <references count="1">
          <reference field="4294967294" count="1" selected="0">
            <x v="18"/>
          </reference>
        </references>
      </pivotArea>
    </format>
    <format dxfId="832">
      <pivotArea field="0" dataOnly="0" labelOnly="1" grandRow="1" outline="0" axis="axisRow" fieldPosition="0">
        <references count="1">
          <reference field="4294967294" count="1" selected="0">
            <x v="19"/>
          </reference>
        </references>
      </pivotArea>
    </format>
    <format dxfId="831">
      <pivotArea field="0" dataOnly="0" labelOnly="1" grandRow="1" outline="0" axis="axisRow" fieldPosition="0">
        <references count="1">
          <reference field="4294967294" count="1" selected="0">
            <x v="20"/>
          </reference>
        </references>
      </pivotArea>
    </format>
    <format dxfId="830">
      <pivotArea field="0" dataOnly="0" labelOnly="1" grandRow="1" outline="0" axis="axisRow" fieldPosition="0">
        <references count="1">
          <reference field="4294967294" count="1" selected="0">
            <x v="21"/>
          </reference>
        </references>
      </pivotArea>
    </format>
    <format dxfId="829">
      <pivotArea field="0" dataOnly="0" labelOnly="1" grandRow="1" outline="0" axis="axisRow" fieldPosition="0">
        <references count="1">
          <reference field="4294967294" count="1" selected="0">
            <x v="22"/>
          </reference>
        </references>
      </pivotArea>
    </format>
    <format dxfId="828">
      <pivotArea field="0" dataOnly="0" labelOnly="1" grandRow="1" outline="0" axis="axisRow" fieldPosition="0">
        <references count="1">
          <reference field="4294967294" count="1" selected="0">
            <x v="23"/>
          </reference>
        </references>
      </pivotArea>
    </format>
    <format dxfId="827">
      <pivotArea field="0" dataOnly="0" labelOnly="1" grandRow="1" outline="0" axis="axisRow" fieldPosition="0">
        <references count="1">
          <reference field="4294967294" count="1" selected="0">
            <x v="24"/>
          </reference>
        </references>
      </pivotArea>
    </format>
    <format dxfId="826">
      <pivotArea field="0" dataOnly="0" labelOnly="1" grandRow="1" outline="0" axis="axisRow" fieldPosition="0">
        <references count="1">
          <reference field="4294967294" count="1" selected="0">
            <x v="25"/>
          </reference>
        </references>
      </pivotArea>
    </format>
    <format dxfId="825">
      <pivotArea field="0" dataOnly="0" labelOnly="1" grandRow="1" outline="0" axis="axisRow" fieldPosition="0">
        <references count="1">
          <reference field="4294967294" count="1" selected="0">
            <x v="26"/>
          </reference>
        </references>
      </pivotArea>
    </format>
    <format dxfId="824">
      <pivotArea field="0" dataOnly="0" labelOnly="1" grandRow="1" outline="0" axis="axisRow" fieldPosition="0">
        <references count="1">
          <reference field="4294967294" count="1" selected="0">
            <x v="27"/>
          </reference>
        </references>
      </pivotArea>
    </format>
    <format dxfId="823">
      <pivotArea field="0" dataOnly="0" labelOnly="1" grandRow="1" outline="0" axis="axisRow" fieldPosition="0">
        <references count="1">
          <reference field="4294967294" count="1" selected="0">
            <x v="28"/>
          </reference>
        </references>
      </pivotArea>
    </format>
    <format dxfId="822">
      <pivotArea field="0" dataOnly="0" labelOnly="1" grandRow="1" outline="0" axis="axisRow" fieldPosition="0">
        <references count="1">
          <reference field="4294967294" count="1" selected="0">
            <x v="29"/>
          </reference>
        </references>
      </pivotArea>
    </format>
    <format dxfId="821">
      <pivotArea field="0" dataOnly="0" labelOnly="1" grandRow="1" outline="0" axis="axisRow" fieldPosition="0">
        <references count="1">
          <reference field="4294967294" count="1" selected="0">
            <x v="30"/>
          </reference>
        </references>
      </pivotArea>
    </format>
    <format dxfId="820">
      <pivotArea field="0" dataOnly="0" labelOnly="1" grandRow="1" outline="0" axis="axisRow" fieldPosition="0">
        <references count="1">
          <reference field="4294967294" count="1" selected="0">
            <x v="31"/>
          </reference>
        </references>
      </pivotArea>
    </format>
    <format dxfId="819">
      <pivotArea field="0" dataOnly="0" labelOnly="1" grandRow="1" outline="0" axis="axisRow" fieldPosition="0">
        <references count="1">
          <reference field="4294967294" count="1" selected="0">
            <x v="32"/>
          </reference>
        </references>
      </pivotArea>
    </format>
    <format dxfId="818">
      <pivotArea field="0" dataOnly="0" labelOnly="1" grandRow="1" outline="0" axis="axisRow" fieldPosition="0">
        <references count="1">
          <reference field="4294967294" count="1" selected="0">
            <x v="33"/>
          </reference>
        </references>
      </pivotArea>
    </format>
    <format dxfId="817">
      <pivotArea field="0" dataOnly="0" labelOnly="1" grandRow="1" outline="0" axis="axisRow" fieldPosition="0">
        <references count="1">
          <reference field="4294967294" count="1" selected="0">
            <x v="34"/>
          </reference>
        </references>
      </pivotArea>
    </format>
    <format dxfId="816">
      <pivotArea field="0" dataOnly="0" labelOnly="1" grandRow="1" outline="0" axis="axisRow" fieldPosition="0">
        <references count="1">
          <reference field="4294967294" count="1" selected="0">
            <x v="35"/>
          </reference>
        </references>
      </pivotArea>
    </format>
    <format dxfId="815">
      <pivotArea field="0" dataOnly="0" labelOnly="1" grandRow="1" outline="0" axis="axisRow" fieldPosition="0">
        <references count="1">
          <reference field="4294967294" count="1" selected="0">
            <x v="0"/>
          </reference>
        </references>
      </pivotArea>
    </format>
    <format dxfId="814">
      <pivotArea field="0" dataOnly="0" labelOnly="1" grandRow="1" outline="0" axis="axisRow" fieldPosition="0">
        <references count="1">
          <reference field="4294967294" count="1" selected="0">
            <x v="1"/>
          </reference>
        </references>
      </pivotArea>
    </format>
    <format dxfId="813">
      <pivotArea field="0" dataOnly="0" labelOnly="1" grandRow="1" outline="0" axis="axisRow" fieldPosition="0">
        <references count="1">
          <reference field="4294967294" count="1" selected="0">
            <x v="2"/>
          </reference>
        </references>
      </pivotArea>
    </format>
    <format dxfId="812">
      <pivotArea field="0" dataOnly="0" labelOnly="1" grandRow="1" outline="0" axis="axisRow" fieldPosition="0">
        <references count="1">
          <reference field="4294967294" count="1" selected="0">
            <x v="3"/>
          </reference>
        </references>
      </pivotArea>
    </format>
    <format dxfId="811">
      <pivotArea field="0" dataOnly="0" labelOnly="1" grandRow="1" outline="0" axis="axisRow" fieldPosition="0">
        <references count="1">
          <reference field="4294967294" count="1" selected="0">
            <x v="4"/>
          </reference>
        </references>
      </pivotArea>
    </format>
    <format dxfId="810">
      <pivotArea field="0" dataOnly="0" labelOnly="1" grandRow="1" outline="0" axis="axisRow" fieldPosition="0">
        <references count="1">
          <reference field="4294967294" count="1" selected="0">
            <x v="5"/>
          </reference>
        </references>
      </pivotArea>
    </format>
    <format dxfId="809">
      <pivotArea field="0" dataOnly="0" labelOnly="1" grandRow="1" outline="0" axis="axisRow" fieldPosition="0">
        <references count="1">
          <reference field="4294967294" count="1" selected="0">
            <x v="6"/>
          </reference>
        </references>
      </pivotArea>
    </format>
    <format dxfId="808">
      <pivotArea field="0" dataOnly="0" labelOnly="1" grandRow="1" outline="0" axis="axisRow" fieldPosition="0">
        <references count="1">
          <reference field="4294967294" count="1" selected="0">
            <x v="7"/>
          </reference>
        </references>
      </pivotArea>
    </format>
    <format dxfId="807">
      <pivotArea field="0" dataOnly="0" labelOnly="1" grandRow="1" outline="0" axis="axisRow" fieldPosition="0">
        <references count="1">
          <reference field="4294967294" count="1" selected="0">
            <x v="8"/>
          </reference>
        </references>
      </pivotArea>
    </format>
    <format dxfId="806">
      <pivotArea field="0" dataOnly="0" labelOnly="1" grandRow="1" outline="0" axis="axisRow" fieldPosition="0">
        <references count="1">
          <reference field="4294967294" count="1" selected="0">
            <x v="9"/>
          </reference>
        </references>
      </pivotArea>
    </format>
    <format dxfId="805">
      <pivotArea field="0" dataOnly="0" labelOnly="1" grandRow="1" outline="0" axis="axisRow" fieldPosition="0">
        <references count="1">
          <reference field="4294967294" count="1" selected="0">
            <x v="10"/>
          </reference>
        </references>
      </pivotArea>
    </format>
    <format dxfId="804">
      <pivotArea field="0" dataOnly="0" labelOnly="1" grandRow="1" outline="0" axis="axisRow" fieldPosition="0">
        <references count="1">
          <reference field="4294967294" count="1" selected="0">
            <x v="11"/>
          </reference>
        </references>
      </pivotArea>
    </format>
    <format dxfId="803">
      <pivotArea field="0" dataOnly="0" labelOnly="1" grandRow="1" outline="0" axis="axisRow" fieldPosition="0">
        <references count="1">
          <reference field="4294967294" count="1" selected="0">
            <x v="12"/>
          </reference>
        </references>
      </pivotArea>
    </format>
    <format dxfId="802">
      <pivotArea field="0" dataOnly="0" labelOnly="1" grandRow="1" outline="0" axis="axisRow" fieldPosition="0">
        <references count="1">
          <reference field="4294967294" count="1" selected="0">
            <x v="13"/>
          </reference>
        </references>
      </pivotArea>
    </format>
    <format dxfId="801">
      <pivotArea field="0" dataOnly="0" labelOnly="1" grandRow="1" outline="0" axis="axisRow" fieldPosition="0">
        <references count="1">
          <reference field="4294967294" count="1" selected="0">
            <x v="14"/>
          </reference>
        </references>
      </pivotArea>
    </format>
    <format dxfId="800">
      <pivotArea field="0" dataOnly="0" labelOnly="1" grandRow="1" outline="0" axis="axisRow" fieldPosition="0">
        <references count="1">
          <reference field="4294967294" count="1" selected="0">
            <x v="15"/>
          </reference>
        </references>
      </pivotArea>
    </format>
    <format dxfId="799">
      <pivotArea field="0" dataOnly="0" labelOnly="1" grandRow="1" outline="0" axis="axisRow" fieldPosition="0">
        <references count="1">
          <reference field="4294967294" count="1" selected="0">
            <x v="16"/>
          </reference>
        </references>
      </pivotArea>
    </format>
    <format dxfId="798">
      <pivotArea field="0" dataOnly="0" labelOnly="1" grandRow="1" outline="0" axis="axisRow" fieldPosition="0">
        <references count="1">
          <reference field="4294967294" count="1" selected="0">
            <x v="17"/>
          </reference>
        </references>
      </pivotArea>
    </format>
    <format dxfId="797">
      <pivotArea field="0" dataOnly="0" labelOnly="1" grandRow="1" outline="0" axis="axisRow" fieldPosition="0">
        <references count="1">
          <reference field="4294967294" count="1" selected="0">
            <x v="18"/>
          </reference>
        </references>
      </pivotArea>
    </format>
    <format dxfId="796">
      <pivotArea field="0" dataOnly="0" labelOnly="1" grandRow="1" outline="0" axis="axisRow" fieldPosition="0">
        <references count="1">
          <reference field="4294967294" count="1" selected="0">
            <x v="19"/>
          </reference>
        </references>
      </pivotArea>
    </format>
    <format dxfId="795">
      <pivotArea field="0" dataOnly="0" labelOnly="1" grandRow="1" outline="0" axis="axisRow" fieldPosition="0">
        <references count="1">
          <reference field="4294967294" count="1" selected="0">
            <x v="20"/>
          </reference>
        </references>
      </pivotArea>
    </format>
    <format dxfId="794">
      <pivotArea field="0" dataOnly="0" labelOnly="1" grandRow="1" outline="0" axis="axisRow" fieldPosition="0">
        <references count="1">
          <reference field="4294967294" count="1" selected="0">
            <x v="21"/>
          </reference>
        </references>
      </pivotArea>
    </format>
    <format dxfId="793">
      <pivotArea field="0" dataOnly="0" labelOnly="1" grandRow="1" outline="0" axis="axisRow" fieldPosition="0">
        <references count="1">
          <reference field="4294967294" count="1" selected="0">
            <x v="22"/>
          </reference>
        </references>
      </pivotArea>
    </format>
    <format dxfId="792">
      <pivotArea field="0" dataOnly="0" labelOnly="1" grandRow="1" outline="0" axis="axisRow" fieldPosition="0">
        <references count="1">
          <reference field="4294967294" count="1" selected="0">
            <x v="23"/>
          </reference>
        </references>
      </pivotArea>
    </format>
    <format dxfId="791">
      <pivotArea field="0" dataOnly="0" labelOnly="1" grandRow="1" outline="0" axis="axisRow" fieldPosition="0">
        <references count="1">
          <reference field="4294967294" count="1" selected="0">
            <x v="24"/>
          </reference>
        </references>
      </pivotArea>
    </format>
    <format dxfId="790">
      <pivotArea field="0" dataOnly="0" labelOnly="1" grandRow="1" outline="0" axis="axisRow" fieldPosition="0">
        <references count="1">
          <reference field="4294967294" count="1" selected="0">
            <x v="25"/>
          </reference>
        </references>
      </pivotArea>
    </format>
    <format dxfId="789">
      <pivotArea field="0" dataOnly="0" labelOnly="1" grandRow="1" outline="0" axis="axisRow" fieldPosition="0">
        <references count="1">
          <reference field="4294967294" count="1" selected="0">
            <x v="26"/>
          </reference>
        </references>
      </pivotArea>
    </format>
    <format dxfId="788">
      <pivotArea field="0" dataOnly="0" labelOnly="1" grandRow="1" outline="0" axis="axisRow" fieldPosition="0">
        <references count="1">
          <reference field="4294967294" count="1" selected="0">
            <x v="27"/>
          </reference>
        </references>
      </pivotArea>
    </format>
    <format dxfId="787">
      <pivotArea field="0" dataOnly="0" labelOnly="1" grandRow="1" outline="0" axis="axisRow" fieldPosition="0">
        <references count="1">
          <reference field="4294967294" count="1" selected="0">
            <x v="28"/>
          </reference>
        </references>
      </pivotArea>
    </format>
    <format dxfId="786">
      <pivotArea field="0" dataOnly="0" labelOnly="1" grandRow="1" outline="0" axis="axisRow" fieldPosition="0">
        <references count="1">
          <reference field="4294967294" count="1" selected="0">
            <x v="29"/>
          </reference>
        </references>
      </pivotArea>
    </format>
    <format dxfId="785">
      <pivotArea field="0" dataOnly="0" labelOnly="1" grandRow="1" outline="0" axis="axisRow" fieldPosition="0">
        <references count="1">
          <reference field="4294967294" count="1" selected="0">
            <x v="30"/>
          </reference>
        </references>
      </pivotArea>
    </format>
    <format dxfId="784">
      <pivotArea field="0" dataOnly="0" labelOnly="1" grandRow="1" outline="0" axis="axisRow" fieldPosition="0">
        <references count="1">
          <reference field="4294967294" count="1" selected="0">
            <x v="31"/>
          </reference>
        </references>
      </pivotArea>
    </format>
    <format dxfId="783">
      <pivotArea field="0" dataOnly="0" labelOnly="1" grandRow="1" outline="0" axis="axisRow" fieldPosition="0">
        <references count="1">
          <reference field="4294967294" count="1" selected="0">
            <x v="32"/>
          </reference>
        </references>
      </pivotArea>
    </format>
    <format dxfId="782">
      <pivotArea field="0" dataOnly="0" labelOnly="1" grandRow="1" outline="0" axis="axisRow" fieldPosition="0">
        <references count="1">
          <reference field="4294967294" count="1" selected="0">
            <x v="33"/>
          </reference>
        </references>
      </pivotArea>
    </format>
    <format dxfId="781">
      <pivotArea field="0" dataOnly="0" labelOnly="1" grandRow="1" outline="0" axis="axisRow" fieldPosition="0">
        <references count="1">
          <reference field="4294967294" count="1" selected="0">
            <x v="34"/>
          </reference>
        </references>
      </pivotArea>
    </format>
    <format dxfId="780">
      <pivotArea field="0" dataOnly="0" labelOnly="1" grandRow="1" outline="0" axis="axisRow" fieldPosition="0">
        <references count="1">
          <reference field="4294967294" count="1" selected="0">
            <x v="35"/>
          </reference>
        </references>
      </pivotArea>
    </format>
    <format dxfId="779">
      <pivotArea field="0" dataOnly="0" labelOnly="1" grandRow="1" outline="0" axis="axisRow" fieldPosition="0">
        <references count="1">
          <reference field="4294967294" count="1" selected="0">
            <x v="0"/>
          </reference>
        </references>
      </pivotArea>
    </format>
    <format dxfId="778">
      <pivotArea field="0" dataOnly="0" labelOnly="1" grandRow="1" outline="0" axis="axisRow" fieldPosition="0">
        <references count="1">
          <reference field="4294967294" count="1" selected="0">
            <x v="1"/>
          </reference>
        </references>
      </pivotArea>
    </format>
    <format dxfId="777">
      <pivotArea field="0" dataOnly="0" labelOnly="1" grandRow="1" outline="0" axis="axisRow" fieldPosition="0">
        <references count="1">
          <reference field="4294967294" count="1" selected="0">
            <x v="2"/>
          </reference>
        </references>
      </pivotArea>
    </format>
    <format dxfId="776">
      <pivotArea field="0" dataOnly="0" labelOnly="1" grandRow="1" outline="0" axis="axisRow" fieldPosition="0">
        <references count="1">
          <reference field="4294967294" count="1" selected="0">
            <x v="3"/>
          </reference>
        </references>
      </pivotArea>
    </format>
    <format dxfId="775">
      <pivotArea field="0" dataOnly="0" labelOnly="1" grandRow="1" outline="0" axis="axisRow" fieldPosition="0">
        <references count="1">
          <reference field="4294967294" count="1" selected="0">
            <x v="4"/>
          </reference>
        </references>
      </pivotArea>
    </format>
    <format dxfId="774">
      <pivotArea field="0" dataOnly="0" labelOnly="1" grandRow="1" outline="0" axis="axisRow" fieldPosition="0">
        <references count="1">
          <reference field="4294967294" count="1" selected="0">
            <x v="5"/>
          </reference>
        </references>
      </pivotArea>
    </format>
    <format dxfId="773">
      <pivotArea field="0" dataOnly="0" labelOnly="1" grandRow="1" outline="0" axis="axisRow" fieldPosition="0">
        <references count="1">
          <reference field="4294967294" count="1" selected="0">
            <x v="6"/>
          </reference>
        </references>
      </pivotArea>
    </format>
    <format dxfId="772">
      <pivotArea field="0" dataOnly="0" labelOnly="1" grandRow="1" outline="0" axis="axisRow" fieldPosition="0">
        <references count="1">
          <reference field="4294967294" count="1" selected="0">
            <x v="7"/>
          </reference>
        </references>
      </pivotArea>
    </format>
    <format dxfId="771">
      <pivotArea field="0" dataOnly="0" labelOnly="1" grandRow="1" outline="0" axis="axisRow" fieldPosition="0">
        <references count="1">
          <reference field="4294967294" count="1" selected="0">
            <x v="8"/>
          </reference>
        </references>
      </pivotArea>
    </format>
    <format dxfId="770">
      <pivotArea field="0" dataOnly="0" labelOnly="1" grandRow="1" outline="0" axis="axisRow" fieldPosition="0">
        <references count="1">
          <reference field="4294967294" count="1" selected="0">
            <x v="9"/>
          </reference>
        </references>
      </pivotArea>
    </format>
    <format dxfId="769">
      <pivotArea field="0" dataOnly="0" labelOnly="1" grandRow="1" outline="0" axis="axisRow" fieldPosition="0">
        <references count="1">
          <reference field="4294967294" count="1" selected="0">
            <x v="10"/>
          </reference>
        </references>
      </pivotArea>
    </format>
    <format dxfId="768">
      <pivotArea field="0" dataOnly="0" labelOnly="1" grandRow="1" outline="0" axis="axisRow" fieldPosition="0">
        <references count="1">
          <reference field="4294967294" count="1" selected="0">
            <x v="11"/>
          </reference>
        </references>
      </pivotArea>
    </format>
    <format dxfId="767">
      <pivotArea field="0" dataOnly="0" labelOnly="1" grandRow="1" outline="0" axis="axisRow" fieldPosition="0">
        <references count="1">
          <reference field="4294967294" count="1" selected="0">
            <x v="12"/>
          </reference>
        </references>
      </pivotArea>
    </format>
    <format dxfId="766">
      <pivotArea field="0" dataOnly="0" labelOnly="1" grandRow="1" outline="0" axis="axisRow" fieldPosition="0">
        <references count="1">
          <reference field="4294967294" count="1" selected="0">
            <x v="13"/>
          </reference>
        </references>
      </pivotArea>
    </format>
    <format dxfId="765">
      <pivotArea field="0" dataOnly="0" labelOnly="1" grandRow="1" outline="0" axis="axisRow" fieldPosition="0">
        <references count="1">
          <reference field="4294967294" count="1" selected="0">
            <x v="14"/>
          </reference>
        </references>
      </pivotArea>
    </format>
    <format dxfId="764">
      <pivotArea field="0" dataOnly="0" labelOnly="1" grandRow="1" outline="0" axis="axisRow" fieldPosition="0">
        <references count="1">
          <reference field="4294967294" count="1" selected="0">
            <x v="15"/>
          </reference>
        </references>
      </pivotArea>
    </format>
    <format dxfId="763">
      <pivotArea field="0" dataOnly="0" labelOnly="1" grandRow="1" outline="0" axis="axisRow" fieldPosition="0">
        <references count="1">
          <reference field="4294967294" count="1" selected="0">
            <x v="16"/>
          </reference>
        </references>
      </pivotArea>
    </format>
    <format dxfId="762">
      <pivotArea field="0" dataOnly="0" labelOnly="1" grandRow="1" outline="0" axis="axisRow" fieldPosition="0">
        <references count="1">
          <reference field="4294967294" count="1" selected="0">
            <x v="17"/>
          </reference>
        </references>
      </pivotArea>
    </format>
    <format dxfId="761">
      <pivotArea field="0" dataOnly="0" labelOnly="1" grandRow="1" outline="0" axis="axisRow" fieldPosition="0">
        <references count="1">
          <reference field="4294967294" count="1" selected="0">
            <x v="18"/>
          </reference>
        </references>
      </pivotArea>
    </format>
    <format dxfId="760">
      <pivotArea field="0" dataOnly="0" labelOnly="1" grandRow="1" outline="0" axis="axisRow" fieldPosition="0">
        <references count="1">
          <reference field="4294967294" count="1" selected="0">
            <x v="19"/>
          </reference>
        </references>
      </pivotArea>
    </format>
    <format dxfId="759">
      <pivotArea field="0" dataOnly="0" labelOnly="1" grandRow="1" outline="0" axis="axisRow" fieldPosition="0">
        <references count="1">
          <reference field="4294967294" count="1" selected="0">
            <x v="20"/>
          </reference>
        </references>
      </pivotArea>
    </format>
    <format dxfId="758">
      <pivotArea field="0" dataOnly="0" labelOnly="1" grandRow="1" outline="0" axis="axisRow" fieldPosition="0">
        <references count="1">
          <reference field="4294967294" count="1" selected="0">
            <x v="21"/>
          </reference>
        </references>
      </pivotArea>
    </format>
    <format dxfId="757">
      <pivotArea field="0" dataOnly="0" labelOnly="1" grandRow="1" outline="0" axis="axisRow" fieldPosition="0">
        <references count="1">
          <reference field="4294967294" count="1" selected="0">
            <x v="22"/>
          </reference>
        </references>
      </pivotArea>
    </format>
    <format dxfId="756">
      <pivotArea field="0" dataOnly="0" labelOnly="1" grandRow="1" outline="0" axis="axisRow" fieldPosition="0">
        <references count="1">
          <reference field="4294967294" count="1" selected="0">
            <x v="23"/>
          </reference>
        </references>
      </pivotArea>
    </format>
    <format dxfId="755">
      <pivotArea field="0" dataOnly="0" labelOnly="1" grandRow="1" outline="0" axis="axisRow" fieldPosition="0">
        <references count="1">
          <reference field="4294967294" count="1" selected="0">
            <x v="24"/>
          </reference>
        </references>
      </pivotArea>
    </format>
    <format dxfId="754">
      <pivotArea field="0" dataOnly="0" labelOnly="1" grandRow="1" outline="0" axis="axisRow" fieldPosition="0">
        <references count="1">
          <reference field="4294967294" count="1" selected="0">
            <x v="25"/>
          </reference>
        </references>
      </pivotArea>
    </format>
    <format dxfId="753">
      <pivotArea field="0" dataOnly="0" labelOnly="1" grandRow="1" outline="0" axis="axisRow" fieldPosition="0">
        <references count="1">
          <reference field="4294967294" count="1" selected="0">
            <x v="26"/>
          </reference>
        </references>
      </pivotArea>
    </format>
    <format dxfId="752">
      <pivotArea field="0" dataOnly="0" labelOnly="1" grandRow="1" outline="0" axis="axisRow" fieldPosition="0">
        <references count="1">
          <reference field="4294967294" count="1" selected="0">
            <x v="27"/>
          </reference>
        </references>
      </pivotArea>
    </format>
    <format dxfId="751">
      <pivotArea field="0" dataOnly="0" labelOnly="1" grandRow="1" outline="0" axis="axisRow" fieldPosition="0">
        <references count="1">
          <reference field="4294967294" count="1" selected="0">
            <x v="28"/>
          </reference>
        </references>
      </pivotArea>
    </format>
    <format dxfId="750">
      <pivotArea field="0" dataOnly="0" labelOnly="1" grandRow="1" outline="0" axis="axisRow" fieldPosition="0">
        <references count="1">
          <reference field="4294967294" count="1" selected="0">
            <x v="29"/>
          </reference>
        </references>
      </pivotArea>
    </format>
    <format dxfId="749">
      <pivotArea field="0" dataOnly="0" labelOnly="1" grandRow="1" outline="0" axis="axisRow" fieldPosition="0">
        <references count="1">
          <reference field="4294967294" count="1" selected="0">
            <x v="30"/>
          </reference>
        </references>
      </pivotArea>
    </format>
    <format dxfId="748">
      <pivotArea field="0" dataOnly="0" labelOnly="1" grandRow="1" outline="0" axis="axisRow" fieldPosition="0">
        <references count="1">
          <reference field="4294967294" count="1" selected="0">
            <x v="31"/>
          </reference>
        </references>
      </pivotArea>
    </format>
    <format dxfId="747">
      <pivotArea field="0" dataOnly="0" labelOnly="1" grandRow="1" outline="0" axis="axisRow" fieldPosition="0">
        <references count="1">
          <reference field="4294967294" count="1" selected="0">
            <x v="32"/>
          </reference>
        </references>
      </pivotArea>
    </format>
    <format dxfId="746">
      <pivotArea field="0" dataOnly="0" labelOnly="1" grandRow="1" outline="0" axis="axisRow" fieldPosition="0">
        <references count="1">
          <reference field="4294967294" count="1" selected="0">
            <x v="33"/>
          </reference>
        </references>
      </pivotArea>
    </format>
    <format dxfId="745">
      <pivotArea field="0" dataOnly="0" labelOnly="1" grandRow="1" outline="0" axis="axisRow" fieldPosition="0">
        <references count="1">
          <reference field="4294967294" count="1" selected="0">
            <x v="34"/>
          </reference>
        </references>
      </pivotArea>
    </format>
    <format dxfId="744">
      <pivotArea field="0" dataOnly="0" labelOnly="1" grandRow="1" outline="0" axis="axisRow" fieldPosition="0">
        <references count="1">
          <reference field="4294967294" count="1" selected="0">
            <x v="35"/>
          </reference>
        </references>
      </pivotArea>
    </format>
    <format dxfId="743">
      <pivotArea field="0" dataOnly="0" labelOnly="1" grandRow="1" outline="0" axis="axisRow" fieldPosition="0">
        <references count="1">
          <reference field="4294967294" count="1" selected="0">
            <x v="0"/>
          </reference>
        </references>
      </pivotArea>
    </format>
    <format dxfId="742">
      <pivotArea field="0" dataOnly="0" labelOnly="1" grandRow="1" outline="0" axis="axisRow" fieldPosition="0">
        <references count="1">
          <reference field="4294967294" count="1" selected="0">
            <x v="1"/>
          </reference>
        </references>
      </pivotArea>
    </format>
    <format dxfId="741">
      <pivotArea field="0" dataOnly="0" labelOnly="1" grandRow="1" outline="0" axis="axisRow" fieldPosition="0">
        <references count="1">
          <reference field="4294967294" count="1" selected="0">
            <x v="2"/>
          </reference>
        </references>
      </pivotArea>
    </format>
    <format dxfId="740">
      <pivotArea field="0" dataOnly="0" labelOnly="1" grandRow="1" outline="0" axis="axisRow" fieldPosition="0">
        <references count="1">
          <reference field="4294967294" count="1" selected="0">
            <x v="3"/>
          </reference>
        </references>
      </pivotArea>
    </format>
    <format dxfId="739">
      <pivotArea field="0" dataOnly="0" labelOnly="1" grandRow="1" outline="0" axis="axisRow" fieldPosition="0">
        <references count="1">
          <reference field="4294967294" count="1" selected="0">
            <x v="4"/>
          </reference>
        </references>
      </pivotArea>
    </format>
    <format dxfId="738">
      <pivotArea field="0" dataOnly="0" labelOnly="1" grandRow="1" outline="0" axis="axisRow" fieldPosition="0">
        <references count="1">
          <reference field="4294967294" count="1" selected="0">
            <x v="5"/>
          </reference>
        </references>
      </pivotArea>
    </format>
    <format dxfId="737">
      <pivotArea field="0" dataOnly="0" labelOnly="1" grandRow="1" outline="0" axis="axisRow" fieldPosition="0">
        <references count="1">
          <reference field="4294967294" count="1" selected="0">
            <x v="6"/>
          </reference>
        </references>
      </pivotArea>
    </format>
    <format dxfId="736">
      <pivotArea field="0" dataOnly="0" labelOnly="1" grandRow="1" outline="0" axis="axisRow" fieldPosition="0">
        <references count="1">
          <reference field="4294967294" count="1" selected="0">
            <x v="7"/>
          </reference>
        </references>
      </pivotArea>
    </format>
    <format dxfId="735">
      <pivotArea field="0" dataOnly="0" labelOnly="1" grandRow="1" outline="0" axis="axisRow" fieldPosition="0">
        <references count="1">
          <reference field="4294967294" count="1" selected="0">
            <x v="8"/>
          </reference>
        </references>
      </pivotArea>
    </format>
    <format dxfId="734">
      <pivotArea field="0" dataOnly="0" labelOnly="1" grandRow="1" outline="0" axis="axisRow" fieldPosition="0">
        <references count="1">
          <reference field="4294967294" count="1" selected="0">
            <x v="9"/>
          </reference>
        </references>
      </pivotArea>
    </format>
    <format dxfId="733">
      <pivotArea field="0" dataOnly="0" labelOnly="1" grandRow="1" outline="0" axis="axisRow" fieldPosition="0">
        <references count="1">
          <reference field="4294967294" count="1" selected="0">
            <x v="10"/>
          </reference>
        </references>
      </pivotArea>
    </format>
    <format dxfId="732">
      <pivotArea field="0" dataOnly="0" labelOnly="1" grandRow="1" outline="0" axis="axisRow" fieldPosition="0">
        <references count="1">
          <reference field="4294967294" count="1" selected="0">
            <x v="11"/>
          </reference>
        </references>
      </pivotArea>
    </format>
    <format dxfId="731">
      <pivotArea field="0" dataOnly="0" labelOnly="1" grandRow="1" outline="0" axis="axisRow" fieldPosition="0">
        <references count="1">
          <reference field="4294967294" count="1" selected="0">
            <x v="12"/>
          </reference>
        </references>
      </pivotArea>
    </format>
    <format dxfId="730">
      <pivotArea field="0" dataOnly="0" labelOnly="1" grandRow="1" outline="0" axis="axisRow" fieldPosition="0">
        <references count="1">
          <reference field="4294967294" count="1" selected="0">
            <x v="13"/>
          </reference>
        </references>
      </pivotArea>
    </format>
    <format dxfId="729">
      <pivotArea field="0" dataOnly="0" labelOnly="1" grandRow="1" outline="0" axis="axisRow" fieldPosition="0">
        <references count="1">
          <reference field="4294967294" count="1" selected="0">
            <x v="14"/>
          </reference>
        </references>
      </pivotArea>
    </format>
    <format dxfId="728">
      <pivotArea field="0" dataOnly="0" labelOnly="1" grandRow="1" outline="0" axis="axisRow" fieldPosition="0">
        <references count="1">
          <reference field="4294967294" count="1" selected="0">
            <x v="15"/>
          </reference>
        </references>
      </pivotArea>
    </format>
    <format dxfId="727">
      <pivotArea field="0" dataOnly="0" labelOnly="1" grandRow="1" outline="0" axis="axisRow" fieldPosition="0">
        <references count="1">
          <reference field="4294967294" count="1" selected="0">
            <x v="16"/>
          </reference>
        </references>
      </pivotArea>
    </format>
    <format dxfId="726">
      <pivotArea field="0" dataOnly="0" labelOnly="1" grandRow="1" outline="0" axis="axisRow" fieldPosition="0">
        <references count="1">
          <reference field="4294967294" count="1" selected="0">
            <x v="17"/>
          </reference>
        </references>
      </pivotArea>
    </format>
    <format dxfId="725">
      <pivotArea field="0" dataOnly="0" labelOnly="1" grandRow="1" outline="0" axis="axisRow" fieldPosition="0">
        <references count="1">
          <reference field="4294967294" count="1" selected="0">
            <x v="18"/>
          </reference>
        </references>
      </pivotArea>
    </format>
    <format dxfId="724">
      <pivotArea field="0" dataOnly="0" labelOnly="1" grandRow="1" outline="0" axis="axisRow" fieldPosition="0">
        <references count="1">
          <reference field="4294967294" count="1" selected="0">
            <x v="19"/>
          </reference>
        </references>
      </pivotArea>
    </format>
    <format dxfId="723">
      <pivotArea field="0" dataOnly="0" labelOnly="1" grandRow="1" outline="0" axis="axisRow" fieldPosition="0">
        <references count="1">
          <reference field="4294967294" count="1" selected="0">
            <x v="20"/>
          </reference>
        </references>
      </pivotArea>
    </format>
    <format dxfId="722">
      <pivotArea field="0" dataOnly="0" labelOnly="1" grandRow="1" outline="0" axis="axisRow" fieldPosition="0">
        <references count="1">
          <reference field="4294967294" count="1" selected="0">
            <x v="21"/>
          </reference>
        </references>
      </pivotArea>
    </format>
    <format dxfId="721">
      <pivotArea field="0" dataOnly="0" labelOnly="1" grandRow="1" outline="0" axis="axisRow" fieldPosition="0">
        <references count="1">
          <reference field="4294967294" count="1" selected="0">
            <x v="22"/>
          </reference>
        </references>
      </pivotArea>
    </format>
    <format dxfId="720">
      <pivotArea field="0" dataOnly="0" labelOnly="1" grandRow="1" outline="0" axis="axisRow" fieldPosition="0">
        <references count="1">
          <reference field="4294967294" count="1" selected="0">
            <x v="23"/>
          </reference>
        </references>
      </pivotArea>
    </format>
    <format dxfId="719">
      <pivotArea field="0" dataOnly="0" labelOnly="1" grandRow="1" outline="0" axis="axisRow" fieldPosition="0">
        <references count="1">
          <reference field="4294967294" count="1" selected="0">
            <x v="24"/>
          </reference>
        </references>
      </pivotArea>
    </format>
    <format dxfId="718">
      <pivotArea field="0" dataOnly="0" labelOnly="1" grandRow="1" outline="0" axis="axisRow" fieldPosition="0">
        <references count="1">
          <reference field="4294967294" count="1" selected="0">
            <x v="25"/>
          </reference>
        </references>
      </pivotArea>
    </format>
    <format dxfId="717">
      <pivotArea field="0" dataOnly="0" labelOnly="1" grandRow="1" outline="0" axis="axisRow" fieldPosition="0">
        <references count="1">
          <reference field="4294967294" count="1" selected="0">
            <x v="26"/>
          </reference>
        </references>
      </pivotArea>
    </format>
    <format dxfId="716">
      <pivotArea field="0" dataOnly="0" labelOnly="1" grandRow="1" outline="0" axis="axisRow" fieldPosition="0">
        <references count="1">
          <reference field="4294967294" count="1" selected="0">
            <x v="27"/>
          </reference>
        </references>
      </pivotArea>
    </format>
    <format dxfId="715">
      <pivotArea field="0" dataOnly="0" labelOnly="1" grandRow="1" outline="0" axis="axisRow" fieldPosition="0">
        <references count="1">
          <reference field="4294967294" count="1" selected="0">
            <x v="28"/>
          </reference>
        </references>
      </pivotArea>
    </format>
    <format dxfId="714">
      <pivotArea field="0" dataOnly="0" labelOnly="1" grandRow="1" outline="0" axis="axisRow" fieldPosition="0">
        <references count="1">
          <reference field="4294967294" count="1" selected="0">
            <x v="29"/>
          </reference>
        </references>
      </pivotArea>
    </format>
    <format dxfId="713">
      <pivotArea field="0" dataOnly="0" labelOnly="1" grandRow="1" outline="0" axis="axisRow" fieldPosition="0">
        <references count="1">
          <reference field="4294967294" count="1" selected="0">
            <x v="30"/>
          </reference>
        </references>
      </pivotArea>
    </format>
    <format dxfId="712">
      <pivotArea field="0" dataOnly="0" labelOnly="1" grandRow="1" outline="0" axis="axisRow" fieldPosition="0">
        <references count="1">
          <reference field="4294967294" count="1" selected="0">
            <x v="31"/>
          </reference>
        </references>
      </pivotArea>
    </format>
    <format dxfId="711">
      <pivotArea field="0" dataOnly="0" labelOnly="1" grandRow="1" outline="0" axis="axisRow" fieldPosition="0">
        <references count="1">
          <reference field="4294967294" count="1" selected="0">
            <x v="32"/>
          </reference>
        </references>
      </pivotArea>
    </format>
    <format dxfId="710">
      <pivotArea field="0" dataOnly="0" labelOnly="1" grandRow="1" outline="0" axis="axisRow" fieldPosition="0">
        <references count="1">
          <reference field="4294967294" count="1" selected="0">
            <x v="33"/>
          </reference>
        </references>
      </pivotArea>
    </format>
    <format dxfId="709">
      <pivotArea field="0" dataOnly="0" labelOnly="1" grandRow="1" outline="0" axis="axisRow" fieldPosition="0">
        <references count="1">
          <reference field="4294967294" count="1" selected="0">
            <x v="34"/>
          </reference>
        </references>
      </pivotArea>
    </format>
    <format dxfId="708">
      <pivotArea field="0" dataOnly="0" labelOnly="1" grandRow="1" outline="0" axis="axisRow" fieldPosition="0">
        <references count="1">
          <reference field="4294967294" count="1" selected="0">
            <x v="35"/>
          </reference>
        </references>
      </pivotArea>
    </format>
    <format dxfId="707">
      <pivotArea field="0" dataOnly="0" labelOnly="1" grandRow="1" outline="0" axis="axisRow" fieldPosition="0">
        <references count="1">
          <reference field="4294967294" count="1" selected="0">
            <x v="0"/>
          </reference>
        </references>
      </pivotArea>
    </format>
    <format dxfId="706">
      <pivotArea field="0" dataOnly="0" labelOnly="1" grandRow="1" outline="0" axis="axisRow" fieldPosition="0">
        <references count="1">
          <reference field="4294967294" count="1" selected="0">
            <x v="1"/>
          </reference>
        </references>
      </pivotArea>
    </format>
    <format dxfId="705">
      <pivotArea field="0" dataOnly="0" labelOnly="1" grandRow="1" outline="0" axis="axisRow" fieldPosition="0">
        <references count="1">
          <reference field="4294967294" count="1" selected="0">
            <x v="2"/>
          </reference>
        </references>
      </pivotArea>
    </format>
    <format dxfId="704">
      <pivotArea field="0" dataOnly="0" labelOnly="1" grandRow="1" outline="0" axis="axisRow" fieldPosition="0">
        <references count="1">
          <reference field="4294967294" count="1" selected="0">
            <x v="3"/>
          </reference>
        </references>
      </pivotArea>
    </format>
    <format dxfId="703">
      <pivotArea field="0" dataOnly="0" labelOnly="1" grandRow="1" outline="0" axis="axisRow" fieldPosition="0">
        <references count="1">
          <reference field="4294967294" count="1" selected="0">
            <x v="4"/>
          </reference>
        </references>
      </pivotArea>
    </format>
    <format dxfId="702">
      <pivotArea field="0" dataOnly="0" labelOnly="1" grandRow="1" outline="0" axis="axisRow" fieldPosition="0">
        <references count="1">
          <reference field="4294967294" count="1" selected="0">
            <x v="5"/>
          </reference>
        </references>
      </pivotArea>
    </format>
    <format dxfId="701">
      <pivotArea field="0" dataOnly="0" labelOnly="1" grandRow="1" outline="0" axis="axisRow" fieldPosition="0">
        <references count="1">
          <reference field="4294967294" count="1" selected="0">
            <x v="6"/>
          </reference>
        </references>
      </pivotArea>
    </format>
    <format dxfId="700">
      <pivotArea field="0" dataOnly="0" labelOnly="1" grandRow="1" outline="0" axis="axisRow" fieldPosition="0">
        <references count="1">
          <reference field="4294967294" count="1" selected="0">
            <x v="7"/>
          </reference>
        </references>
      </pivotArea>
    </format>
    <format dxfId="699">
      <pivotArea field="0" dataOnly="0" labelOnly="1" grandRow="1" outline="0" axis="axisRow" fieldPosition="0">
        <references count="1">
          <reference field="4294967294" count="1" selected="0">
            <x v="8"/>
          </reference>
        </references>
      </pivotArea>
    </format>
    <format dxfId="698">
      <pivotArea field="0" dataOnly="0" labelOnly="1" grandRow="1" outline="0" axis="axisRow" fieldPosition="0">
        <references count="1">
          <reference field="4294967294" count="1" selected="0">
            <x v="9"/>
          </reference>
        </references>
      </pivotArea>
    </format>
    <format dxfId="697">
      <pivotArea field="0" dataOnly="0" labelOnly="1" grandRow="1" outline="0" axis="axisRow" fieldPosition="0">
        <references count="1">
          <reference field="4294967294" count="1" selected="0">
            <x v="10"/>
          </reference>
        </references>
      </pivotArea>
    </format>
    <format dxfId="696">
      <pivotArea field="0" dataOnly="0" labelOnly="1" grandRow="1" outline="0" axis="axisRow" fieldPosition="0">
        <references count="1">
          <reference field="4294967294" count="1" selected="0">
            <x v="11"/>
          </reference>
        </references>
      </pivotArea>
    </format>
    <format dxfId="695">
      <pivotArea field="0" dataOnly="0" labelOnly="1" grandRow="1" outline="0" axis="axisRow" fieldPosition="0">
        <references count="1">
          <reference field="4294967294" count="1" selected="0">
            <x v="12"/>
          </reference>
        </references>
      </pivotArea>
    </format>
    <format dxfId="694">
      <pivotArea field="0" dataOnly="0" labelOnly="1" grandRow="1" outline="0" axis="axisRow" fieldPosition="0">
        <references count="1">
          <reference field="4294967294" count="1" selected="0">
            <x v="13"/>
          </reference>
        </references>
      </pivotArea>
    </format>
    <format dxfId="693">
      <pivotArea field="0" dataOnly="0" labelOnly="1" grandRow="1" outline="0" axis="axisRow" fieldPosition="0">
        <references count="1">
          <reference field="4294967294" count="1" selected="0">
            <x v="14"/>
          </reference>
        </references>
      </pivotArea>
    </format>
    <format dxfId="692">
      <pivotArea field="0" dataOnly="0" labelOnly="1" grandRow="1" outline="0" axis="axisRow" fieldPosition="0">
        <references count="1">
          <reference field="4294967294" count="1" selected="0">
            <x v="15"/>
          </reference>
        </references>
      </pivotArea>
    </format>
    <format dxfId="691">
      <pivotArea field="0" dataOnly="0" labelOnly="1" grandRow="1" outline="0" axis="axisRow" fieldPosition="0">
        <references count="1">
          <reference field="4294967294" count="1" selected="0">
            <x v="16"/>
          </reference>
        </references>
      </pivotArea>
    </format>
    <format dxfId="690">
      <pivotArea field="0" dataOnly="0" labelOnly="1" grandRow="1" outline="0" axis="axisRow" fieldPosition="0">
        <references count="1">
          <reference field="4294967294" count="1" selected="0">
            <x v="17"/>
          </reference>
        </references>
      </pivotArea>
    </format>
    <format dxfId="689">
      <pivotArea field="0" dataOnly="0" labelOnly="1" grandRow="1" outline="0" axis="axisRow" fieldPosition="0">
        <references count="1">
          <reference field="4294967294" count="1" selected="0">
            <x v="18"/>
          </reference>
        </references>
      </pivotArea>
    </format>
    <format dxfId="688">
      <pivotArea field="0" dataOnly="0" labelOnly="1" grandRow="1" outline="0" axis="axisRow" fieldPosition="0">
        <references count="1">
          <reference field="4294967294" count="1" selected="0">
            <x v="19"/>
          </reference>
        </references>
      </pivotArea>
    </format>
    <format dxfId="687">
      <pivotArea field="0" dataOnly="0" labelOnly="1" grandRow="1" outline="0" axis="axisRow" fieldPosition="0">
        <references count="1">
          <reference field="4294967294" count="1" selected="0">
            <x v="20"/>
          </reference>
        </references>
      </pivotArea>
    </format>
    <format dxfId="686">
      <pivotArea field="0" dataOnly="0" labelOnly="1" grandRow="1" outline="0" axis="axisRow" fieldPosition="0">
        <references count="1">
          <reference field="4294967294" count="1" selected="0">
            <x v="21"/>
          </reference>
        </references>
      </pivotArea>
    </format>
    <format dxfId="685">
      <pivotArea field="0" dataOnly="0" labelOnly="1" grandRow="1" outline="0" axis="axisRow" fieldPosition="0">
        <references count="1">
          <reference field="4294967294" count="1" selected="0">
            <x v="22"/>
          </reference>
        </references>
      </pivotArea>
    </format>
    <format dxfId="684">
      <pivotArea field="0" dataOnly="0" labelOnly="1" grandRow="1" outline="0" axis="axisRow" fieldPosition="0">
        <references count="1">
          <reference field="4294967294" count="1" selected="0">
            <x v="23"/>
          </reference>
        </references>
      </pivotArea>
    </format>
    <format dxfId="683">
      <pivotArea field="0" dataOnly="0" labelOnly="1" grandRow="1" outline="0" axis="axisRow" fieldPosition="0">
        <references count="1">
          <reference field="4294967294" count="1" selected="0">
            <x v="24"/>
          </reference>
        </references>
      </pivotArea>
    </format>
    <format dxfId="682">
      <pivotArea field="0" dataOnly="0" labelOnly="1" grandRow="1" outline="0" axis="axisRow" fieldPosition="0">
        <references count="1">
          <reference field="4294967294" count="1" selected="0">
            <x v="25"/>
          </reference>
        </references>
      </pivotArea>
    </format>
    <format dxfId="681">
      <pivotArea field="0" dataOnly="0" labelOnly="1" grandRow="1" outline="0" axis="axisRow" fieldPosition="0">
        <references count="1">
          <reference field="4294967294" count="1" selected="0">
            <x v="26"/>
          </reference>
        </references>
      </pivotArea>
    </format>
    <format dxfId="680">
      <pivotArea field="0" dataOnly="0" labelOnly="1" grandRow="1" outline="0" axis="axisRow" fieldPosition="0">
        <references count="1">
          <reference field="4294967294" count="1" selected="0">
            <x v="27"/>
          </reference>
        </references>
      </pivotArea>
    </format>
    <format dxfId="679">
      <pivotArea field="0" dataOnly="0" labelOnly="1" grandRow="1" outline="0" axis="axisRow" fieldPosition="0">
        <references count="1">
          <reference field="4294967294" count="1" selected="0">
            <x v="28"/>
          </reference>
        </references>
      </pivotArea>
    </format>
    <format dxfId="678">
      <pivotArea field="0" dataOnly="0" labelOnly="1" grandRow="1" outline="0" axis="axisRow" fieldPosition="0">
        <references count="1">
          <reference field="4294967294" count="1" selected="0">
            <x v="29"/>
          </reference>
        </references>
      </pivotArea>
    </format>
    <format dxfId="677">
      <pivotArea field="0" dataOnly="0" labelOnly="1" grandRow="1" outline="0" axis="axisRow" fieldPosition="0">
        <references count="1">
          <reference field="4294967294" count="1" selected="0">
            <x v="30"/>
          </reference>
        </references>
      </pivotArea>
    </format>
    <format dxfId="676">
      <pivotArea field="0" dataOnly="0" labelOnly="1" grandRow="1" outline="0" axis="axisRow" fieldPosition="0">
        <references count="1">
          <reference field="4294967294" count="1" selected="0">
            <x v="31"/>
          </reference>
        </references>
      </pivotArea>
    </format>
    <format dxfId="675">
      <pivotArea field="0" dataOnly="0" labelOnly="1" grandRow="1" outline="0" axis="axisRow" fieldPosition="0">
        <references count="1">
          <reference field="4294967294" count="1" selected="0">
            <x v="32"/>
          </reference>
        </references>
      </pivotArea>
    </format>
    <format dxfId="674">
      <pivotArea field="0" dataOnly="0" labelOnly="1" grandRow="1" outline="0" axis="axisRow" fieldPosition="0">
        <references count="1">
          <reference field="4294967294" count="1" selected="0">
            <x v="33"/>
          </reference>
        </references>
      </pivotArea>
    </format>
    <format dxfId="673">
      <pivotArea field="0" dataOnly="0" labelOnly="1" grandRow="1" outline="0" axis="axisRow" fieldPosition="0">
        <references count="1">
          <reference field="4294967294" count="1" selected="0">
            <x v="34"/>
          </reference>
        </references>
      </pivotArea>
    </format>
    <format dxfId="672">
      <pivotArea field="0" dataOnly="0" labelOnly="1" grandRow="1" outline="0" axis="axisRow" fieldPosition="0">
        <references count="1">
          <reference field="4294967294" count="1" selected="0">
            <x v="35"/>
          </reference>
        </references>
      </pivotArea>
    </format>
    <format dxfId="671">
      <pivotArea field="0" dataOnly="0" labelOnly="1" grandRow="1" outline="0" axis="axisRow" fieldPosition="0">
        <references count="1">
          <reference field="4294967294" count="1" selected="0">
            <x v="0"/>
          </reference>
        </references>
      </pivotArea>
    </format>
    <format dxfId="670">
      <pivotArea field="0" dataOnly="0" labelOnly="1" grandRow="1" outline="0" axis="axisRow" fieldPosition="0">
        <references count="1">
          <reference field="4294967294" count="1" selected="0">
            <x v="1"/>
          </reference>
        </references>
      </pivotArea>
    </format>
    <format dxfId="669">
      <pivotArea field="0" dataOnly="0" labelOnly="1" grandRow="1" outline="0" axis="axisRow" fieldPosition="0">
        <references count="1">
          <reference field="4294967294" count="1" selected="0">
            <x v="2"/>
          </reference>
        </references>
      </pivotArea>
    </format>
    <format dxfId="668">
      <pivotArea field="0" dataOnly="0" labelOnly="1" grandRow="1" outline="0" axis="axisRow" fieldPosition="0">
        <references count="1">
          <reference field="4294967294" count="1" selected="0">
            <x v="3"/>
          </reference>
        </references>
      </pivotArea>
    </format>
    <format dxfId="667">
      <pivotArea field="0" dataOnly="0" labelOnly="1" grandRow="1" outline="0" axis="axisRow" fieldPosition="0">
        <references count="1">
          <reference field="4294967294" count="1" selected="0">
            <x v="4"/>
          </reference>
        </references>
      </pivotArea>
    </format>
    <format dxfId="666">
      <pivotArea field="0" dataOnly="0" labelOnly="1" grandRow="1" outline="0" axis="axisRow" fieldPosition="0">
        <references count="1">
          <reference field="4294967294" count="1" selected="0">
            <x v="5"/>
          </reference>
        </references>
      </pivotArea>
    </format>
    <format dxfId="665">
      <pivotArea field="0" dataOnly="0" labelOnly="1" grandRow="1" outline="0" axis="axisRow" fieldPosition="0">
        <references count="1">
          <reference field="4294967294" count="1" selected="0">
            <x v="6"/>
          </reference>
        </references>
      </pivotArea>
    </format>
    <format dxfId="664">
      <pivotArea field="0" dataOnly="0" labelOnly="1" grandRow="1" outline="0" axis="axisRow" fieldPosition="0">
        <references count="1">
          <reference field="4294967294" count="1" selected="0">
            <x v="7"/>
          </reference>
        </references>
      </pivotArea>
    </format>
    <format dxfId="663">
      <pivotArea field="0" dataOnly="0" labelOnly="1" grandRow="1" outline="0" axis="axisRow" fieldPosition="0">
        <references count="1">
          <reference field="4294967294" count="1" selected="0">
            <x v="8"/>
          </reference>
        </references>
      </pivotArea>
    </format>
    <format dxfId="662">
      <pivotArea field="0" dataOnly="0" labelOnly="1" grandRow="1" outline="0" axis="axisRow" fieldPosition="0">
        <references count="1">
          <reference field="4294967294" count="1" selected="0">
            <x v="9"/>
          </reference>
        </references>
      </pivotArea>
    </format>
    <format dxfId="661">
      <pivotArea field="0" dataOnly="0" labelOnly="1" grandRow="1" outline="0" axis="axisRow" fieldPosition="0">
        <references count="1">
          <reference field="4294967294" count="1" selected="0">
            <x v="10"/>
          </reference>
        </references>
      </pivotArea>
    </format>
    <format dxfId="660">
      <pivotArea field="0" dataOnly="0" labelOnly="1" grandRow="1" outline="0" axis="axisRow" fieldPosition="0">
        <references count="1">
          <reference field="4294967294" count="1" selected="0">
            <x v="11"/>
          </reference>
        </references>
      </pivotArea>
    </format>
    <format dxfId="659">
      <pivotArea field="0" dataOnly="0" labelOnly="1" grandRow="1" outline="0" axis="axisRow" fieldPosition="0">
        <references count="1">
          <reference field="4294967294" count="1" selected="0">
            <x v="12"/>
          </reference>
        </references>
      </pivotArea>
    </format>
    <format dxfId="658">
      <pivotArea field="0" dataOnly="0" labelOnly="1" grandRow="1" outline="0" axis="axisRow" fieldPosition="0">
        <references count="1">
          <reference field="4294967294" count="1" selected="0">
            <x v="13"/>
          </reference>
        </references>
      </pivotArea>
    </format>
    <format dxfId="657">
      <pivotArea field="0" dataOnly="0" labelOnly="1" grandRow="1" outline="0" axis="axisRow" fieldPosition="0">
        <references count="1">
          <reference field="4294967294" count="1" selected="0">
            <x v="14"/>
          </reference>
        </references>
      </pivotArea>
    </format>
    <format dxfId="656">
      <pivotArea field="0" dataOnly="0" labelOnly="1" grandRow="1" outline="0" axis="axisRow" fieldPosition="0">
        <references count="1">
          <reference field="4294967294" count="1" selected="0">
            <x v="15"/>
          </reference>
        </references>
      </pivotArea>
    </format>
    <format dxfId="655">
      <pivotArea field="0" dataOnly="0" labelOnly="1" grandRow="1" outline="0" axis="axisRow" fieldPosition="0">
        <references count="1">
          <reference field="4294967294" count="1" selected="0">
            <x v="16"/>
          </reference>
        </references>
      </pivotArea>
    </format>
    <format dxfId="654">
      <pivotArea field="0" dataOnly="0" labelOnly="1" grandRow="1" outline="0" axis="axisRow" fieldPosition="0">
        <references count="1">
          <reference field="4294967294" count="1" selected="0">
            <x v="17"/>
          </reference>
        </references>
      </pivotArea>
    </format>
    <format dxfId="653">
      <pivotArea field="0" dataOnly="0" labelOnly="1" grandRow="1" outline="0" axis="axisRow" fieldPosition="0">
        <references count="1">
          <reference field="4294967294" count="1" selected="0">
            <x v="18"/>
          </reference>
        </references>
      </pivotArea>
    </format>
    <format dxfId="652">
      <pivotArea field="0" dataOnly="0" labelOnly="1" grandRow="1" outline="0" axis="axisRow" fieldPosition="0">
        <references count="1">
          <reference field="4294967294" count="1" selected="0">
            <x v="19"/>
          </reference>
        </references>
      </pivotArea>
    </format>
    <format dxfId="651">
      <pivotArea field="0" dataOnly="0" labelOnly="1" grandRow="1" outline="0" axis="axisRow" fieldPosition="0">
        <references count="1">
          <reference field="4294967294" count="1" selected="0">
            <x v="20"/>
          </reference>
        </references>
      </pivotArea>
    </format>
    <format dxfId="650">
      <pivotArea field="0" dataOnly="0" labelOnly="1" grandRow="1" outline="0" axis="axisRow" fieldPosition="0">
        <references count="1">
          <reference field="4294967294" count="1" selected="0">
            <x v="21"/>
          </reference>
        </references>
      </pivotArea>
    </format>
    <format dxfId="649">
      <pivotArea field="0" dataOnly="0" labelOnly="1" grandRow="1" outline="0" axis="axisRow" fieldPosition="0">
        <references count="1">
          <reference field="4294967294" count="1" selected="0">
            <x v="22"/>
          </reference>
        </references>
      </pivotArea>
    </format>
    <format dxfId="648">
      <pivotArea field="0" dataOnly="0" labelOnly="1" grandRow="1" outline="0" axis="axisRow" fieldPosition="0">
        <references count="1">
          <reference field="4294967294" count="1" selected="0">
            <x v="23"/>
          </reference>
        </references>
      </pivotArea>
    </format>
    <format dxfId="647">
      <pivotArea field="0" dataOnly="0" labelOnly="1" grandRow="1" outline="0" axis="axisRow" fieldPosition="0">
        <references count="1">
          <reference field="4294967294" count="1" selected="0">
            <x v="24"/>
          </reference>
        </references>
      </pivotArea>
    </format>
    <format dxfId="646">
      <pivotArea field="0" dataOnly="0" labelOnly="1" grandRow="1" outline="0" axis="axisRow" fieldPosition="0">
        <references count="1">
          <reference field="4294967294" count="1" selected="0">
            <x v="25"/>
          </reference>
        </references>
      </pivotArea>
    </format>
    <format dxfId="645">
      <pivotArea field="0" dataOnly="0" labelOnly="1" grandRow="1" outline="0" axis="axisRow" fieldPosition="0">
        <references count="1">
          <reference field="4294967294" count="1" selected="0">
            <x v="26"/>
          </reference>
        </references>
      </pivotArea>
    </format>
    <format dxfId="644">
      <pivotArea field="0" dataOnly="0" labelOnly="1" grandRow="1" outline="0" axis="axisRow" fieldPosition="0">
        <references count="1">
          <reference field="4294967294" count="1" selected="0">
            <x v="27"/>
          </reference>
        </references>
      </pivotArea>
    </format>
    <format dxfId="643">
      <pivotArea field="0" dataOnly="0" labelOnly="1" grandRow="1" outline="0" axis="axisRow" fieldPosition="0">
        <references count="1">
          <reference field="4294967294" count="1" selected="0">
            <x v="28"/>
          </reference>
        </references>
      </pivotArea>
    </format>
    <format dxfId="642">
      <pivotArea field="0" dataOnly="0" labelOnly="1" grandRow="1" outline="0" axis="axisRow" fieldPosition="0">
        <references count="1">
          <reference field="4294967294" count="1" selected="0">
            <x v="29"/>
          </reference>
        </references>
      </pivotArea>
    </format>
    <format dxfId="641">
      <pivotArea field="0" dataOnly="0" labelOnly="1" grandRow="1" outline="0" axis="axisRow" fieldPosition="0">
        <references count="1">
          <reference field="4294967294" count="1" selected="0">
            <x v="30"/>
          </reference>
        </references>
      </pivotArea>
    </format>
    <format dxfId="640">
      <pivotArea field="0" dataOnly="0" labelOnly="1" grandRow="1" outline="0" axis="axisRow" fieldPosition="0">
        <references count="1">
          <reference field="4294967294" count="1" selected="0">
            <x v="31"/>
          </reference>
        </references>
      </pivotArea>
    </format>
    <format dxfId="639">
      <pivotArea field="0" dataOnly="0" labelOnly="1" grandRow="1" outline="0" axis="axisRow" fieldPosition="0">
        <references count="1">
          <reference field="4294967294" count="1" selected="0">
            <x v="32"/>
          </reference>
        </references>
      </pivotArea>
    </format>
    <format dxfId="638">
      <pivotArea field="0" dataOnly="0" labelOnly="1" grandRow="1" outline="0" axis="axisRow" fieldPosition="0">
        <references count="1">
          <reference field="4294967294" count="1" selected="0">
            <x v="33"/>
          </reference>
        </references>
      </pivotArea>
    </format>
    <format dxfId="637">
      <pivotArea field="0" dataOnly="0" labelOnly="1" grandRow="1" outline="0" axis="axisRow" fieldPosition="0">
        <references count="1">
          <reference field="4294967294" count="1" selected="0">
            <x v="34"/>
          </reference>
        </references>
      </pivotArea>
    </format>
    <format dxfId="636">
      <pivotArea field="0" dataOnly="0" labelOnly="1" grandRow="1" outline="0" axis="axisRow" fieldPosition="0">
        <references count="1">
          <reference field="4294967294" count="1" selected="0">
            <x v="35"/>
          </reference>
        </references>
      </pivotArea>
    </format>
    <format dxfId="635">
      <pivotArea field="0" dataOnly="0" labelOnly="1" grandRow="1" outline="0" axis="axisRow" fieldPosition="0">
        <references count="1">
          <reference field="4294967294" count="1" selected="0">
            <x v="0"/>
          </reference>
        </references>
      </pivotArea>
    </format>
    <format dxfId="634">
      <pivotArea field="0" dataOnly="0" labelOnly="1" grandRow="1" outline="0" axis="axisRow" fieldPosition="0">
        <references count="1">
          <reference field="4294967294" count="1" selected="0">
            <x v="1"/>
          </reference>
        </references>
      </pivotArea>
    </format>
    <format dxfId="633">
      <pivotArea field="0" dataOnly="0" labelOnly="1" grandRow="1" outline="0" axis="axisRow" fieldPosition="0">
        <references count="1">
          <reference field="4294967294" count="1" selected="0">
            <x v="2"/>
          </reference>
        </references>
      </pivotArea>
    </format>
    <format dxfId="632">
      <pivotArea field="0" dataOnly="0" labelOnly="1" grandRow="1" outline="0" axis="axisRow" fieldPosition="0">
        <references count="1">
          <reference field="4294967294" count="1" selected="0">
            <x v="3"/>
          </reference>
        </references>
      </pivotArea>
    </format>
    <format dxfId="631">
      <pivotArea field="0" dataOnly="0" labelOnly="1" grandRow="1" outline="0" axis="axisRow" fieldPosition="0">
        <references count="1">
          <reference field="4294967294" count="1" selected="0">
            <x v="4"/>
          </reference>
        </references>
      </pivotArea>
    </format>
    <format dxfId="630">
      <pivotArea field="0" dataOnly="0" labelOnly="1" grandRow="1" outline="0" axis="axisRow" fieldPosition="0">
        <references count="1">
          <reference field="4294967294" count="1" selected="0">
            <x v="5"/>
          </reference>
        </references>
      </pivotArea>
    </format>
    <format dxfId="629">
      <pivotArea field="0" dataOnly="0" labelOnly="1" grandRow="1" outline="0" axis="axisRow" fieldPosition="0">
        <references count="1">
          <reference field="4294967294" count="1" selected="0">
            <x v="6"/>
          </reference>
        </references>
      </pivotArea>
    </format>
    <format dxfId="628">
      <pivotArea field="0" dataOnly="0" labelOnly="1" grandRow="1" outline="0" axis="axisRow" fieldPosition="0">
        <references count="1">
          <reference field="4294967294" count="1" selected="0">
            <x v="7"/>
          </reference>
        </references>
      </pivotArea>
    </format>
    <format dxfId="627">
      <pivotArea field="0" dataOnly="0" labelOnly="1" grandRow="1" outline="0" axis="axisRow" fieldPosition="0">
        <references count="1">
          <reference field="4294967294" count="1" selected="0">
            <x v="8"/>
          </reference>
        </references>
      </pivotArea>
    </format>
    <format dxfId="626">
      <pivotArea field="0" dataOnly="0" labelOnly="1" grandRow="1" outline="0" axis="axisRow" fieldPosition="0">
        <references count="1">
          <reference field="4294967294" count="1" selected="0">
            <x v="9"/>
          </reference>
        </references>
      </pivotArea>
    </format>
    <format dxfId="625">
      <pivotArea field="0" dataOnly="0" labelOnly="1" grandRow="1" outline="0" axis="axisRow" fieldPosition="0">
        <references count="1">
          <reference field="4294967294" count="1" selected="0">
            <x v="10"/>
          </reference>
        </references>
      </pivotArea>
    </format>
    <format dxfId="624">
      <pivotArea field="0" dataOnly="0" labelOnly="1" grandRow="1" outline="0" axis="axisRow" fieldPosition="0">
        <references count="1">
          <reference field="4294967294" count="1" selected="0">
            <x v="11"/>
          </reference>
        </references>
      </pivotArea>
    </format>
    <format dxfId="623">
      <pivotArea field="0" dataOnly="0" labelOnly="1" grandRow="1" outline="0" axis="axisRow" fieldPosition="0">
        <references count="1">
          <reference field="4294967294" count="1" selected="0">
            <x v="12"/>
          </reference>
        </references>
      </pivotArea>
    </format>
    <format dxfId="622">
      <pivotArea field="0" dataOnly="0" labelOnly="1" grandRow="1" outline="0" axis="axisRow" fieldPosition="0">
        <references count="1">
          <reference field="4294967294" count="1" selected="0">
            <x v="13"/>
          </reference>
        </references>
      </pivotArea>
    </format>
    <format dxfId="621">
      <pivotArea field="0" dataOnly="0" labelOnly="1" grandRow="1" outline="0" axis="axisRow" fieldPosition="0">
        <references count="1">
          <reference field="4294967294" count="1" selected="0">
            <x v="14"/>
          </reference>
        </references>
      </pivotArea>
    </format>
    <format dxfId="620">
      <pivotArea field="0" dataOnly="0" labelOnly="1" grandRow="1" outline="0" axis="axisRow" fieldPosition="0">
        <references count="1">
          <reference field="4294967294" count="1" selected="0">
            <x v="15"/>
          </reference>
        </references>
      </pivotArea>
    </format>
    <format dxfId="619">
      <pivotArea field="0" dataOnly="0" labelOnly="1" grandRow="1" outline="0" axis="axisRow" fieldPosition="0">
        <references count="1">
          <reference field="4294967294" count="1" selected="0">
            <x v="16"/>
          </reference>
        </references>
      </pivotArea>
    </format>
    <format dxfId="618">
      <pivotArea field="0" dataOnly="0" labelOnly="1" grandRow="1" outline="0" axis="axisRow" fieldPosition="0">
        <references count="1">
          <reference field="4294967294" count="1" selected="0">
            <x v="17"/>
          </reference>
        </references>
      </pivotArea>
    </format>
    <format dxfId="617">
      <pivotArea field="0" dataOnly="0" labelOnly="1" grandRow="1" outline="0" axis="axisRow" fieldPosition="0">
        <references count="1">
          <reference field="4294967294" count="1" selected="0">
            <x v="18"/>
          </reference>
        </references>
      </pivotArea>
    </format>
    <format dxfId="616">
      <pivotArea field="0" dataOnly="0" labelOnly="1" grandRow="1" outline="0" axis="axisRow" fieldPosition="0">
        <references count="1">
          <reference field="4294967294" count="1" selected="0">
            <x v="19"/>
          </reference>
        </references>
      </pivotArea>
    </format>
    <format dxfId="615">
      <pivotArea field="0" dataOnly="0" labelOnly="1" grandRow="1" outline="0" axis="axisRow" fieldPosition="0">
        <references count="1">
          <reference field="4294967294" count="1" selected="0">
            <x v="20"/>
          </reference>
        </references>
      </pivotArea>
    </format>
    <format dxfId="614">
      <pivotArea field="0" dataOnly="0" labelOnly="1" grandRow="1" outline="0" axis="axisRow" fieldPosition="0">
        <references count="1">
          <reference field="4294967294" count="1" selected="0">
            <x v="21"/>
          </reference>
        </references>
      </pivotArea>
    </format>
    <format dxfId="613">
      <pivotArea field="0" dataOnly="0" labelOnly="1" grandRow="1" outline="0" axis="axisRow" fieldPosition="0">
        <references count="1">
          <reference field="4294967294" count="1" selected="0">
            <x v="22"/>
          </reference>
        </references>
      </pivotArea>
    </format>
    <format dxfId="612">
      <pivotArea field="0" dataOnly="0" labelOnly="1" grandRow="1" outline="0" axis="axisRow" fieldPosition="0">
        <references count="1">
          <reference field="4294967294" count="1" selected="0">
            <x v="23"/>
          </reference>
        </references>
      </pivotArea>
    </format>
    <format dxfId="611">
      <pivotArea field="0" dataOnly="0" labelOnly="1" grandRow="1" outline="0" axis="axisRow" fieldPosition="0">
        <references count="1">
          <reference field="4294967294" count="1" selected="0">
            <x v="24"/>
          </reference>
        </references>
      </pivotArea>
    </format>
    <format dxfId="610">
      <pivotArea field="0" dataOnly="0" labelOnly="1" grandRow="1" outline="0" axis="axisRow" fieldPosition="0">
        <references count="1">
          <reference field="4294967294" count="1" selected="0">
            <x v="25"/>
          </reference>
        </references>
      </pivotArea>
    </format>
    <format dxfId="609">
      <pivotArea field="0" dataOnly="0" labelOnly="1" grandRow="1" outline="0" axis="axisRow" fieldPosition="0">
        <references count="1">
          <reference field="4294967294" count="1" selected="0">
            <x v="26"/>
          </reference>
        </references>
      </pivotArea>
    </format>
    <format dxfId="608">
      <pivotArea field="0" dataOnly="0" labelOnly="1" grandRow="1" outline="0" axis="axisRow" fieldPosition="0">
        <references count="1">
          <reference field="4294967294" count="1" selected="0">
            <x v="27"/>
          </reference>
        </references>
      </pivotArea>
    </format>
    <format dxfId="607">
      <pivotArea field="0" dataOnly="0" labelOnly="1" grandRow="1" outline="0" axis="axisRow" fieldPosition="0">
        <references count="1">
          <reference field="4294967294" count="1" selected="0">
            <x v="28"/>
          </reference>
        </references>
      </pivotArea>
    </format>
    <format dxfId="606">
      <pivotArea field="0" dataOnly="0" labelOnly="1" grandRow="1" outline="0" axis="axisRow" fieldPosition="0">
        <references count="1">
          <reference field="4294967294" count="1" selected="0">
            <x v="29"/>
          </reference>
        </references>
      </pivotArea>
    </format>
    <format dxfId="605">
      <pivotArea field="0" dataOnly="0" labelOnly="1" grandRow="1" outline="0" axis="axisRow" fieldPosition="0">
        <references count="1">
          <reference field="4294967294" count="1" selected="0">
            <x v="30"/>
          </reference>
        </references>
      </pivotArea>
    </format>
    <format dxfId="604">
      <pivotArea field="0" dataOnly="0" labelOnly="1" grandRow="1" outline="0" axis="axisRow" fieldPosition="0">
        <references count="1">
          <reference field="4294967294" count="1" selected="0">
            <x v="31"/>
          </reference>
        </references>
      </pivotArea>
    </format>
    <format dxfId="603">
      <pivotArea field="0" dataOnly="0" labelOnly="1" grandRow="1" outline="0" axis="axisRow" fieldPosition="0">
        <references count="1">
          <reference field="4294967294" count="1" selected="0">
            <x v="32"/>
          </reference>
        </references>
      </pivotArea>
    </format>
    <format dxfId="602">
      <pivotArea field="0" dataOnly="0" labelOnly="1" grandRow="1" outline="0" axis="axisRow" fieldPosition="0">
        <references count="1">
          <reference field="4294967294" count="1" selected="0">
            <x v="33"/>
          </reference>
        </references>
      </pivotArea>
    </format>
    <format dxfId="601">
      <pivotArea field="0" dataOnly="0" labelOnly="1" grandRow="1" outline="0" axis="axisRow" fieldPosition="0">
        <references count="1">
          <reference field="4294967294" count="1" selected="0">
            <x v="34"/>
          </reference>
        </references>
      </pivotArea>
    </format>
    <format dxfId="600">
      <pivotArea field="0" dataOnly="0" labelOnly="1" grandRow="1" outline="0" axis="axisRow" fieldPosition="0">
        <references count="1">
          <reference field="4294967294" count="1" selected="0">
            <x v="35"/>
          </reference>
        </references>
      </pivotArea>
    </format>
    <format dxfId="599">
      <pivotArea field="0" dataOnly="0" labelOnly="1" grandRow="1" outline="0" axis="axisRow" fieldPosition="0">
        <references count="1">
          <reference field="4294967294" count="1" selected="0">
            <x v="0"/>
          </reference>
        </references>
      </pivotArea>
    </format>
    <format dxfId="598">
      <pivotArea field="0" dataOnly="0" labelOnly="1" grandRow="1" outline="0" axis="axisRow" fieldPosition="0">
        <references count="1">
          <reference field="4294967294" count="1" selected="0">
            <x v="1"/>
          </reference>
        </references>
      </pivotArea>
    </format>
    <format dxfId="597">
      <pivotArea field="0" dataOnly="0" labelOnly="1" grandRow="1" outline="0" axis="axisRow" fieldPosition="0">
        <references count="1">
          <reference field="4294967294" count="1" selected="0">
            <x v="2"/>
          </reference>
        </references>
      </pivotArea>
    </format>
    <format dxfId="596">
      <pivotArea field="0" dataOnly="0" labelOnly="1" grandRow="1" outline="0" axis="axisRow" fieldPosition="0">
        <references count="1">
          <reference field="4294967294" count="1" selected="0">
            <x v="3"/>
          </reference>
        </references>
      </pivotArea>
    </format>
    <format dxfId="595">
      <pivotArea field="0" dataOnly="0" labelOnly="1" grandRow="1" outline="0" axis="axisRow" fieldPosition="0">
        <references count="1">
          <reference field="4294967294" count="1" selected="0">
            <x v="4"/>
          </reference>
        </references>
      </pivotArea>
    </format>
    <format dxfId="594">
      <pivotArea field="0" dataOnly="0" labelOnly="1" grandRow="1" outline="0" axis="axisRow" fieldPosition="0">
        <references count="1">
          <reference field="4294967294" count="1" selected="0">
            <x v="5"/>
          </reference>
        </references>
      </pivotArea>
    </format>
    <format dxfId="593">
      <pivotArea field="0" dataOnly="0" labelOnly="1" grandRow="1" outline="0" axis="axisRow" fieldPosition="0">
        <references count="1">
          <reference field="4294967294" count="1" selected="0">
            <x v="6"/>
          </reference>
        </references>
      </pivotArea>
    </format>
    <format dxfId="592">
      <pivotArea field="0" dataOnly="0" labelOnly="1" grandRow="1" outline="0" axis="axisRow" fieldPosition="0">
        <references count="1">
          <reference field="4294967294" count="1" selected="0">
            <x v="7"/>
          </reference>
        </references>
      </pivotArea>
    </format>
    <format dxfId="591">
      <pivotArea field="0" dataOnly="0" labelOnly="1" grandRow="1" outline="0" axis="axisRow" fieldPosition="0">
        <references count="1">
          <reference field="4294967294" count="1" selected="0">
            <x v="8"/>
          </reference>
        </references>
      </pivotArea>
    </format>
    <format dxfId="590">
      <pivotArea field="0" dataOnly="0" labelOnly="1" grandRow="1" outline="0" axis="axisRow" fieldPosition="0">
        <references count="1">
          <reference field="4294967294" count="1" selected="0">
            <x v="9"/>
          </reference>
        </references>
      </pivotArea>
    </format>
    <format dxfId="589">
      <pivotArea field="0" dataOnly="0" labelOnly="1" grandRow="1" outline="0" axis="axisRow" fieldPosition="0">
        <references count="1">
          <reference field="4294967294" count="1" selected="0">
            <x v="10"/>
          </reference>
        </references>
      </pivotArea>
    </format>
    <format dxfId="588">
      <pivotArea field="0" dataOnly="0" labelOnly="1" grandRow="1" outline="0" axis="axisRow" fieldPosition="0">
        <references count="1">
          <reference field="4294967294" count="1" selected="0">
            <x v="11"/>
          </reference>
        </references>
      </pivotArea>
    </format>
    <format dxfId="587">
      <pivotArea field="0" dataOnly="0" labelOnly="1" grandRow="1" outline="0" axis="axisRow" fieldPosition="0">
        <references count="1">
          <reference field="4294967294" count="1" selected="0">
            <x v="12"/>
          </reference>
        </references>
      </pivotArea>
    </format>
    <format dxfId="586">
      <pivotArea field="0" dataOnly="0" labelOnly="1" grandRow="1" outline="0" axis="axisRow" fieldPosition="0">
        <references count="1">
          <reference field="4294967294" count="1" selected="0">
            <x v="13"/>
          </reference>
        </references>
      </pivotArea>
    </format>
    <format dxfId="585">
      <pivotArea field="0" dataOnly="0" labelOnly="1" grandRow="1" outline="0" axis="axisRow" fieldPosition="0">
        <references count="1">
          <reference field="4294967294" count="1" selected="0">
            <x v="14"/>
          </reference>
        </references>
      </pivotArea>
    </format>
    <format dxfId="584">
      <pivotArea field="0" dataOnly="0" labelOnly="1" grandRow="1" outline="0" axis="axisRow" fieldPosition="0">
        <references count="1">
          <reference field="4294967294" count="1" selected="0">
            <x v="15"/>
          </reference>
        </references>
      </pivotArea>
    </format>
    <format dxfId="583">
      <pivotArea field="0" dataOnly="0" labelOnly="1" grandRow="1" outline="0" axis="axisRow" fieldPosition="0">
        <references count="1">
          <reference field="4294967294" count="1" selected="0">
            <x v="16"/>
          </reference>
        </references>
      </pivotArea>
    </format>
    <format dxfId="582">
      <pivotArea field="0" dataOnly="0" labelOnly="1" grandRow="1" outline="0" axis="axisRow" fieldPosition="0">
        <references count="1">
          <reference field="4294967294" count="1" selected="0">
            <x v="17"/>
          </reference>
        </references>
      </pivotArea>
    </format>
    <format dxfId="581">
      <pivotArea field="0" dataOnly="0" labelOnly="1" grandRow="1" outline="0" axis="axisRow" fieldPosition="0">
        <references count="1">
          <reference field="4294967294" count="1" selected="0">
            <x v="18"/>
          </reference>
        </references>
      </pivotArea>
    </format>
    <format dxfId="580">
      <pivotArea field="0" dataOnly="0" labelOnly="1" grandRow="1" outline="0" axis="axisRow" fieldPosition="0">
        <references count="1">
          <reference field="4294967294" count="1" selected="0">
            <x v="19"/>
          </reference>
        </references>
      </pivotArea>
    </format>
    <format dxfId="579">
      <pivotArea field="0" dataOnly="0" labelOnly="1" grandRow="1" outline="0" axis="axisRow" fieldPosition="0">
        <references count="1">
          <reference field="4294967294" count="1" selected="0">
            <x v="20"/>
          </reference>
        </references>
      </pivotArea>
    </format>
    <format dxfId="578">
      <pivotArea field="0" dataOnly="0" labelOnly="1" grandRow="1" outline="0" axis="axisRow" fieldPosition="0">
        <references count="1">
          <reference field="4294967294" count="1" selected="0">
            <x v="21"/>
          </reference>
        </references>
      </pivotArea>
    </format>
    <format dxfId="577">
      <pivotArea field="0" dataOnly="0" labelOnly="1" grandRow="1" outline="0" axis="axisRow" fieldPosition="0">
        <references count="1">
          <reference field="4294967294" count="1" selected="0">
            <x v="22"/>
          </reference>
        </references>
      </pivotArea>
    </format>
    <format dxfId="576">
      <pivotArea field="0" dataOnly="0" labelOnly="1" grandRow="1" outline="0" axis="axisRow" fieldPosition="0">
        <references count="1">
          <reference field="4294967294" count="1" selected="0">
            <x v="23"/>
          </reference>
        </references>
      </pivotArea>
    </format>
    <format dxfId="575">
      <pivotArea field="0" dataOnly="0" labelOnly="1" grandRow="1" outline="0" axis="axisRow" fieldPosition="0">
        <references count="1">
          <reference field="4294967294" count="1" selected="0">
            <x v="24"/>
          </reference>
        </references>
      </pivotArea>
    </format>
    <format dxfId="574">
      <pivotArea field="0" dataOnly="0" labelOnly="1" grandRow="1" outline="0" axis="axisRow" fieldPosition="0">
        <references count="1">
          <reference field="4294967294" count="1" selected="0">
            <x v="25"/>
          </reference>
        </references>
      </pivotArea>
    </format>
    <format dxfId="573">
      <pivotArea field="0" dataOnly="0" labelOnly="1" grandRow="1" outline="0" axis="axisRow" fieldPosition="0">
        <references count="1">
          <reference field="4294967294" count="1" selected="0">
            <x v="26"/>
          </reference>
        </references>
      </pivotArea>
    </format>
    <format dxfId="572">
      <pivotArea field="0" dataOnly="0" labelOnly="1" grandRow="1" outline="0" axis="axisRow" fieldPosition="0">
        <references count="1">
          <reference field="4294967294" count="1" selected="0">
            <x v="27"/>
          </reference>
        </references>
      </pivotArea>
    </format>
    <format dxfId="571">
      <pivotArea field="0" dataOnly="0" labelOnly="1" grandRow="1" outline="0" axis="axisRow" fieldPosition="0">
        <references count="1">
          <reference field="4294967294" count="1" selected="0">
            <x v="28"/>
          </reference>
        </references>
      </pivotArea>
    </format>
    <format dxfId="570">
      <pivotArea field="0" dataOnly="0" labelOnly="1" grandRow="1" outline="0" axis="axisRow" fieldPosition="0">
        <references count="1">
          <reference field="4294967294" count="1" selected="0">
            <x v="29"/>
          </reference>
        </references>
      </pivotArea>
    </format>
    <format dxfId="569">
      <pivotArea field="0" dataOnly="0" labelOnly="1" grandRow="1" outline="0" axis="axisRow" fieldPosition="0">
        <references count="1">
          <reference field="4294967294" count="1" selected="0">
            <x v="30"/>
          </reference>
        </references>
      </pivotArea>
    </format>
    <format dxfId="568">
      <pivotArea field="0" dataOnly="0" labelOnly="1" grandRow="1" outline="0" axis="axisRow" fieldPosition="0">
        <references count="1">
          <reference field="4294967294" count="1" selected="0">
            <x v="31"/>
          </reference>
        </references>
      </pivotArea>
    </format>
    <format dxfId="567">
      <pivotArea field="0" dataOnly="0" labelOnly="1" grandRow="1" outline="0" axis="axisRow" fieldPosition="0">
        <references count="1">
          <reference field="4294967294" count="1" selected="0">
            <x v="32"/>
          </reference>
        </references>
      </pivotArea>
    </format>
    <format dxfId="566">
      <pivotArea field="0" dataOnly="0" labelOnly="1" grandRow="1" outline="0" axis="axisRow" fieldPosition="0">
        <references count="1">
          <reference field="4294967294" count="1" selected="0">
            <x v="33"/>
          </reference>
        </references>
      </pivotArea>
    </format>
    <format dxfId="565">
      <pivotArea field="0" dataOnly="0" labelOnly="1" grandRow="1" outline="0" axis="axisRow" fieldPosition="0">
        <references count="1">
          <reference field="4294967294" count="1" selected="0">
            <x v="34"/>
          </reference>
        </references>
      </pivotArea>
    </format>
    <format dxfId="564">
      <pivotArea field="0" dataOnly="0" labelOnly="1" grandRow="1" outline="0" axis="axisRow" fieldPosition="0">
        <references count="1">
          <reference field="4294967294" count="1" selected="0">
            <x v="35"/>
          </reference>
        </references>
      </pivotArea>
    </format>
    <format dxfId="563">
      <pivotArea field="0" dataOnly="0" labelOnly="1" grandRow="1" outline="0" axis="axisRow" fieldPosition="0">
        <references count="1">
          <reference field="4294967294" count="1" selected="0">
            <x v="0"/>
          </reference>
        </references>
      </pivotArea>
    </format>
    <format dxfId="562">
      <pivotArea field="0" dataOnly="0" labelOnly="1" grandRow="1" outline="0" axis="axisRow" fieldPosition="0">
        <references count="1">
          <reference field="4294967294" count="1" selected="0">
            <x v="1"/>
          </reference>
        </references>
      </pivotArea>
    </format>
    <format dxfId="561">
      <pivotArea field="0" dataOnly="0" labelOnly="1" grandRow="1" outline="0" axis="axisRow" fieldPosition="0">
        <references count="1">
          <reference field="4294967294" count="1" selected="0">
            <x v="2"/>
          </reference>
        </references>
      </pivotArea>
    </format>
    <format dxfId="560">
      <pivotArea field="0" dataOnly="0" labelOnly="1" grandRow="1" outline="0" axis="axisRow" fieldPosition="0">
        <references count="1">
          <reference field="4294967294" count="1" selected="0">
            <x v="3"/>
          </reference>
        </references>
      </pivotArea>
    </format>
    <format dxfId="559">
      <pivotArea field="0" dataOnly="0" labelOnly="1" grandRow="1" outline="0" axis="axisRow" fieldPosition="0">
        <references count="1">
          <reference field="4294967294" count="1" selected="0">
            <x v="4"/>
          </reference>
        </references>
      </pivotArea>
    </format>
    <format dxfId="558">
      <pivotArea field="0" dataOnly="0" labelOnly="1" grandRow="1" outline="0" axis="axisRow" fieldPosition="0">
        <references count="1">
          <reference field="4294967294" count="1" selected="0">
            <x v="5"/>
          </reference>
        </references>
      </pivotArea>
    </format>
    <format dxfId="557">
      <pivotArea field="0" dataOnly="0" labelOnly="1" grandRow="1" outline="0" axis="axisRow" fieldPosition="0">
        <references count="1">
          <reference field="4294967294" count="1" selected="0">
            <x v="6"/>
          </reference>
        </references>
      </pivotArea>
    </format>
    <format dxfId="556">
      <pivotArea field="0" dataOnly="0" labelOnly="1" grandRow="1" outline="0" axis="axisRow" fieldPosition="0">
        <references count="1">
          <reference field="4294967294" count="1" selected="0">
            <x v="7"/>
          </reference>
        </references>
      </pivotArea>
    </format>
    <format dxfId="555">
      <pivotArea field="0" dataOnly="0" labelOnly="1" grandRow="1" outline="0" axis="axisRow" fieldPosition="0">
        <references count="1">
          <reference field="4294967294" count="1" selected="0">
            <x v="8"/>
          </reference>
        </references>
      </pivotArea>
    </format>
    <format dxfId="554">
      <pivotArea field="0" dataOnly="0" labelOnly="1" grandRow="1" outline="0" axis="axisRow" fieldPosition="0">
        <references count="1">
          <reference field="4294967294" count="1" selected="0">
            <x v="9"/>
          </reference>
        </references>
      </pivotArea>
    </format>
    <format dxfId="553">
      <pivotArea field="0" dataOnly="0" labelOnly="1" grandRow="1" outline="0" axis="axisRow" fieldPosition="0">
        <references count="1">
          <reference field="4294967294" count="1" selected="0">
            <x v="10"/>
          </reference>
        </references>
      </pivotArea>
    </format>
    <format dxfId="552">
      <pivotArea field="0" dataOnly="0" labelOnly="1" grandRow="1" outline="0" axis="axisRow" fieldPosition="0">
        <references count="1">
          <reference field="4294967294" count="1" selected="0">
            <x v="11"/>
          </reference>
        </references>
      </pivotArea>
    </format>
    <format dxfId="551">
      <pivotArea field="0" dataOnly="0" labelOnly="1" grandRow="1" outline="0" axis="axisRow" fieldPosition="0">
        <references count="1">
          <reference field="4294967294" count="1" selected="0">
            <x v="12"/>
          </reference>
        </references>
      </pivotArea>
    </format>
    <format dxfId="550">
      <pivotArea field="0" dataOnly="0" labelOnly="1" grandRow="1" outline="0" axis="axisRow" fieldPosition="0">
        <references count="1">
          <reference field="4294967294" count="1" selected="0">
            <x v="13"/>
          </reference>
        </references>
      </pivotArea>
    </format>
    <format dxfId="549">
      <pivotArea field="0" dataOnly="0" labelOnly="1" grandRow="1" outline="0" axis="axisRow" fieldPosition="0">
        <references count="1">
          <reference field="4294967294" count="1" selected="0">
            <x v="14"/>
          </reference>
        </references>
      </pivotArea>
    </format>
    <format dxfId="548">
      <pivotArea field="0" dataOnly="0" labelOnly="1" grandRow="1" outline="0" axis="axisRow" fieldPosition="0">
        <references count="1">
          <reference field="4294967294" count="1" selected="0">
            <x v="15"/>
          </reference>
        </references>
      </pivotArea>
    </format>
    <format dxfId="547">
      <pivotArea field="0" dataOnly="0" labelOnly="1" grandRow="1" outline="0" axis="axisRow" fieldPosition="0">
        <references count="1">
          <reference field="4294967294" count="1" selected="0">
            <x v="16"/>
          </reference>
        </references>
      </pivotArea>
    </format>
    <format dxfId="546">
      <pivotArea field="0" dataOnly="0" labelOnly="1" grandRow="1" outline="0" axis="axisRow" fieldPosition="0">
        <references count="1">
          <reference field="4294967294" count="1" selected="0">
            <x v="17"/>
          </reference>
        </references>
      </pivotArea>
    </format>
    <format dxfId="545">
      <pivotArea field="0" dataOnly="0" labelOnly="1" grandRow="1" outline="0" axis="axisRow" fieldPosition="0">
        <references count="1">
          <reference field="4294967294" count="1" selected="0">
            <x v="18"/>
          </reference>
        </references>
      </pivotArea>
    </format>
    <format dxfId="544">
      <pivotArea field="0" dataOnly="0" labelOnly="1" grandRow="1" outline="0" axis="axisRow" fieldPosition="0">
        <references count="1">
          <reference field="4294967294" count="1" selected="0">
            <x v="19"/>
          </reference>
        </references>
      </pivotArea>
    </format>
    <format dxfId="543">
      <pivotArea field="0" dataOnly="0" labelOnly="1" grandRow="1" outline="0" axis="axisRow" fieldPosition="0">
        <references count="1">
          <reference field="4294967294" count="1" selected="0">
            <x v="20"/>
          </reference>
        </references>
      </pivotArea>
    </format>
    <format dxfId="542">
      <pivotArea field="0" dataOnly="0" labelOnly="1" grandRow="1" outline="0" axis="axisRow" fieldPosition="0">
        <references count="1">
          <reference field="4294967294" count="1" selected="0">
            <x v="21"/>
          </reference>
        </references>
      </pivotArea>
    </format>
    <format dxfId="541">
      <pivotArea field="0" dataOnly="0" labelOnly="1" grandRow="1" outline="0" axis="axisRow" fieldPosition="0">
        <references count="1">
          <reference field="4294967294" count="1" selected="0">
            <x v="22"/>
          </reference>
        </references>
      </pivotArea>
    </format>
    <format dxfId="540">
      <pivotArea field="0" dataOnly="0" labelOnly="1" grandRow="1" outline="0" axis="axisRow" fieldPosition="0">
        <references count="1">
          <reference field="4294967294" count="1" selected="0">
            <x v="23"/>
          </reference>
        </references>
      </pivotArea>
    </format>
    <format dxfId="539">
      <pivotArea field="0" dataOnly="0" labelOnly="1" grandRow="1" outline="0" axis="axisRow" fieldPosition="0">
        <references count="1">
          <reference field="4294967294" count="1" selected="0">
            <x v="24"/>
          </reference>
        </references>
      </pivotArea>
    </format>
    <format dxfId="538">
      <pivotArea field="0" dataOnly="0" labelOnly="1" grandRow="1" outline="0" axis="axisRow" fieldPosition="0">
        <references count="1">
          <reference field="4294967294" count="1" selected="0">
            <x v="25"/>
          </reference>
        </references>
      </pivotArea>
    </format>
    <format dxfId="537">
      <pivotArea field="0" dataOnly="0" labelOnly="1" grandRow="1" outline="0" axis="axisRow" fieldPosition="0">
        <references count="1">
          <reference field="4294967294" count="1" selected="0">
            <x v="26"/>
          </reference>
        </references>
      </pivotArea>
    </format>
    <format dxfId="536">
      <pivotArea field="0" dataOnly="0" labelOnly="1" grandRow="1" outline="0" axis="axisRow" fieldPosition="0">
        <references count="1">
          <reference field="4294967294" count="1" selected="0">
            <x v="27"/>
          </reference>
        </references>
      </pivotArea>
    </format>
    <format dxfId="535">
      <pivotArea field="0" dataOnly="0" labelOnly="1" grandRow="1" outline="0" axis="axisRow" fieldPosition="0">
        <references count="1">
          <reference field="4294967294" count="1" selected="0">
            <x v="28"/>
          </reference>
        </references>
      </pivotArea>
    </format>
    <format dxfId="534">
      <pivotArea field="0" dataOnly="0" labelOnly="1" grandRow="1" outline="0" axis="axisRow" fieldPosition="0">
        <references count="1">
          <reference field="4294967294" count="1" selected="0">
            <x v="29"/>
          </reference>
        </references>
      </pivotArea>
    </format>
    <format dxfId="533">
      <pivotArea field="0" dataOnly="0" labelOnly="1" grandRow="1" outline="0" axis="axisRow" fieldPosition="0">
        <references count="1">
          <reference field="4294967294" count="1" selected="0">
            <x v="30"/>
          </reference>
        </references>
      </pivotArea>
    </format>
    <format dxfId="532">
      <pivotArea field="0" dataOnly="0" labelOnly="1" grandRow="1" outline="0" axis="axisRow" fieldPosition="0">
        <references count="1">
          <reference field="4294967294" count="1" selected="0">
            <x v="31"/>
          </reference>
        </references>
      </pivotArea>
    </format>
    <format dxfId="531">
      <pivotArea field="0" dataOnly="0" labelOnly="1" grandRow="1" outline="0" axis="axisRow" fieldPosition="0">
        <references count="1">
          <reference field="4294967294" count="1" selected="0">
            <x v="32"/>
          </reference>
        </references>
      </pivotArea>
    </format>
    <format dxfId="530">
      <pivotArea field="0" dataOnly="0" labelOnly="1" grandRow="1" outline="0" axis="axisRow" fieldPosition="0">
        <references count="1">
          <reference field="4294967294" count="1" selected="0">
            <x v="33"/>
          </reference>
        </references>
      </pivotArea>
    </format>
    <format dxfId="529">
      <pivotArea field="0" dataOnly="0" labelOnly="1" grandRow="1" outline="0" axis="axisRow" fieldPosition="0">
        <references count="1">
          <reference field="4294967294" count="1" selected="0">
            <x v="34"/>
          </reference>
        </references>
      </pivotArea>
    </format>
    <format dxfId="528">
      <pivotArea field="0" dataOnly="0" labelOnly="1" grandRow="1" outline="0" axis="axisRow" fieldPosition="0">
        <references count="1">
          <reference field="4294967294" count="1" selected="0">
            <x v="35"/>
          </reference>
        </references>
      </pivotArea>
    </format>
    <format dxfId="527">
      <pivotArea field="0" dataOnly="0" labelOnly="1" grandRow="1" outline="0" axis="axisRow" fieldPosition="0">
        <references count="1">
          <reference field="4294967294" count="1" selected="0">
            <x v="0"/>
          </reference>
        </references>
      </pivotArea>
    </format>
    <format dxfId="526">
      <pivotArea field="0" dataOnly="0" labelOnly="1" grandRow="1" outline="0" axis="axisRow" fieldPosition="0">
        <references count="1">
          <reference field="4294967294" count="1" selected="0">
            <x v="1"/>
          </reference>
        </references>
      </pivotArea>
    </format>
    <format dxfId="525">
      <pivotArea field="0" dataOnly="0" labelOnly="1" grandRow="1" outline="0" axis="axisRow" fieldPosition="0">
        <references count="1">
          <reference field="4294967294" count="1" selected="0">
            <x v="2"/>
          </reference>
        </references>
      </pivotArea>
    </format>
    <format dxfId="524">
      <pivotArea field="0" dataOnly="0" labelOnly="1" grandRow="1" outline="0" axis="axisRow" fieldPosition="0">
        <references count="1">
          <reference field="4294967294" count="1" selected="0">
            <x v="3"/>
          </reference>
        </references>
      </pivotArea>
    </format>
    <format dxfId="523">
      <pivotArea field="0" dataOnly="0" labelOnly="1" grandRow="1" outline="0" axis="axisRow" fieldPosition="0">
        <references count="1">
          <reference field="4294967294" count="1" selected="0">
            <x v="4"/>
          </reference>
        </references>
      </pivotArea>
    </format>
    <format dxfId="522">
      <pivotArea field="0" dataOnly="0" labelOnly="1" grandRow="1" outline="0" axis="axisRow" fieldPosition="0">
        <references count="1">
          <reference field="4294967294" count="1" selected="0">
            <x v="5"/>
          </reference>
        </references>
      </pivotArea>
    </format>
    <format dxfId="521">
      <pivotArea field="0" dataOnly="0" labelOnly="1" grandRow="1" outline="0" axis="axisRow" fieldPosition="0">
        <references count="1">
          <reference field="4294967294" count="1" selected="0">
            <x v="6"/>
          </reference>
        </references>
      </pivotArea>
    </format>
    <format dxfId="520">
      <pivotArea field="0" dataOnly="0" labelOnly="1" grandRow="1" outline="0" axis="axisRow" fieldPosition="0">
        <references count="1">
          <reference field="4294967294" count="1" selected="0">
            <x v="7"/>
          </reference>
        </references>
      </pivotArea>
    </format>
    <format dxfId="519">
      <pivotArea field="0" dataOnly="0" labelOnly="1" grandRow="1" outline="0" axis="axisRow" fieldPosition="0">
        <references count="1">
          <reference field="4294967294" count="1" selected="0">
            <x v="8"/>
          </reference>
        </references>
      </pivotArea>
    </format>
    <format dxfId="518">
      <pivotArea field="0" dataOnly="0" labelOnly="1" grandRow="1" outline="0" axis="axisRow" fieldPosition="0">
        <references count="1">
          <reference field="4294967294" count="1" selected="0">
            <x v="9"/>
          </reference>
        </references>
      </pivotArea>
    </format>
    <format dxfId="517">
      <pivotArea field="0" dataOnly="0" labelOnly="1" grandRow="1" outline="0" axis="axisRow" fieldPosition="0">
        <references count="1">
          <reference field="4294967294" count="1" selected="0">
            <x v="10"/>
          </reference>
        </references>
      </pivotArea>
    </format>
    <format dxfId="516">
      <pivotArea field="0" dataOnly="0" labelOnly="1" grandRow="1" outline="0" axis="axisRow" fieldPosition="0">
        <references count="1">
          <reference field="4294967294" count="1" selected="0">
            <x v="11"/>
          </reference>
        </references>
      </pivotArea>
    </format>
    <format dxfId="515">
      <pivotArea field="0" dataOnly="0" labelOnly="1" grandRow="1" outline="0" axis="axisRow" fieldPosition="0">
        <references count="1">
          <reference field="4294967294" count="1" selected="0">
            <x v="12"/>
          </reference>
        </references>
      </pivotArea>
    </format>
    <format dxfId="514">
      <pivotArea field="0" dataOnly="0" labelOnly="1" grandRow="1" outline="0" axis="axisRow" fieldPosition="0">
        <references count="1">
          <reference field="4294967294" count="1" selected="0">
            <x v="13"/>
          </reference>
        </references>
      </pivotArea>
    </format>
    <format dxfId="513">
      <pivotArea field="0" dataOnly="0" labelOnly="1" grandRow="1" outline="0" axis="axisRow" fieldPosition="0">
        <references count="1">
          <reference field="4294967294" count="1" selected="0">
            <x v="14"/>
          </reference>
        </references>
      </pivotArea>
    </format>
    <format dxfId="512">
      <pivotArea field="0" dataOnly="0" labelOnly="1" grandRow="1" outline="0" axis="axisRow" fieldPosition="0">
        <references count="1">
          <reference field="4294967294" count="1" selected="0">
            <x v="15"/>
          </reference>
        </references>
      </pivotArea>
    </format>
    <format dxfId="511">
      <pivotArea field="0" dataOnly="0" labelOnly="1" grandRow="1" outline="0" axis="axisRow" fieldPosition="0">
        <references count="1">
          <reference field="4294967294" count="1" selected="0">
            <x v="16"/>
          </reference>
        </references>
      </pivotArea>
    </format>
    <format dxfId="510">
      <pivotArea field="0" dataOnly="0" labelOnly="1" grandRow="1" outline="0" axis="axisRow" fieldPosition="0">
        <references count="1">
          <reference field="4294967294" count="1" selected="0">
            <x v="17"/>
          </reference>
        </references>
      </pivotArea>
    </format>
    <format dxfId="509">
      <pivotArea field="0" dataOnly="0" labelOnly="1" grandRow="1" outline="0" axis="axisRow" fieldPosition="0">
        <references count="1">
          <reference field="4294967294" count="1" selected="0">
            <x v="18"/>
          </reference>
        </references>
      </pivotArea>
    </format>
    <format dxfId="508">
      <pivotArea field="0" dataOnly="0" labelOnly="1" grandRow="1" outline="0" axis="axisRow" fieldPosition="0">
        <references count="1">
          <reference field="4294967294" count="1" selected="0">
            <x v="19"/>
          </reference>
        </references>
      </pivotArea>
    </format>
    <format dxfId="507">
      <pivotArea field="0" dataOnly="0" labelOnly="1" grandRow="1" outline="0" axis="axisRow" fieldPosition="0">
        <references count="1">
          <reference field="4294967294" count="1" selected="0">
            <x v="20"/>
          </reference>
        </references>
      </pivotArea>
    </format>
    <format dxfId="506">
      <pivotArea field="0" dataOnly="0" labelOnly="1" grandRow="1" outline="0" axis="axisRow" fieldPosition="0">
        <references count="1">
          <reference field="4294967294" count="1" selected="0">
            <x v="21"/>
          </reference>
        </references>
      </pivotArea>
    </format>
    <format dxfId="505">
      <pivotArea field="0" dataOnly="0" labelOnly="1" grandRow="1" outline="0" axis="axisRow" fieldPosition="0">
        <references count="1">
          <reference field="4294967294" count="1" selected="0">
            <x v="22"/>
          </reference>
        </references>
      </pivotArea>
    </format>
    <format dxfId="504">
      <pivotArea field="0" dataOnly="0" labelOnly="1" grandRow="1" outline="0" axis="axisRow" fieldPosition="0">
        <references count="1">
          <reference field="4294967294" count="1" selected="0">
            <x v="23"/>
          </reference>
        </references>
      </pivotArea>
    </format>
    <format dxfId="503">
      <pivotArea field="0" dataOnly="0" labelOnly="1" grandRow="1" outline="0" axis="axisRow" fieldPosition="0">
        <references count="1">
          <reference field="4294967294" count="1" selected="0">
            <x v="24"/>
          </reference>
        </references>
      </pivotArea>
    </format>
    <format dxfId="502">
      <pivotArea field="0" dataOnly="0" labelOnly="1" grandRow="1" outline="0" axis="axisRow" fieldPosition="0">
        <references count="1">
          <reference field="4294967294" count="1" selected="0">
            <x v="25"/>
          </reference>
        </references>
      </pivotArea>
    </format>
    <format dxfId="501">
      <pivotArea field="0" dataOnly="0" labelOnly="1" grandRow="1" outline="0" axis="axisRow" fieldPosition="0">
        <references count="1">
          <reference field="4294967294" count="1" selected="0">
            <x v="26"/>
          </reference>
        </references>
      </pivotArea>
    </format>
    <format dxfId="500">
      <pivotArea field="0" dataOnly="0" labelOnly="1" grandRow="1" outline="0" axis="axisRow" fieldPosition="0">
        <references count="1">
          <reference field="4294967294" count="1" selected="0">
            <x v="27"/>
          </reference>
        </references>
      </pivotArea>
    </format>
    <format dxfId="499">
      <pivotArea field="0" dataOnly="0" labelOnly="1" grandRow="1" outline="0" axis="axisRow" fieldPosition="0">
        <references count="1">
          <reference field="4294967294" count="1" selected="0">
            <x v="28"/>
          </reference>
        </references>
      </pivotArea>
    </format>
    <format dxfId="498">
      <pivotArea field="0" dataOnly="0" labelOnly="1" grandRow="1" outline="0" axis="axisRow" fieldPosition="0">
        <references count="1">
          <reference field="4294967294" count="1" selected="0">
            <x v="29"/>
          </reference>
        </references>
      </pivotArea>
    </format>
    <format dxfId="497">
      <pivotArea field="0" dataOnly="0" labelOnly="1" grandRow="1" outline="0" axis="axisRow" fieldPosition="0">
        <references count="1">
          <reference field="4294967294" count="1" selected="0">
            <x v="30"/>
          </reference>
        </references>
      </pivotArea>
    </format>
    <format dxfId="496">
      <pivotArea field="0" dataOnly="0" labelOnly="1" grandRow="1" outline="0" axis="axisRow" fieldPosition="0">
        <references count="1">
          <reference field="4294967294" count="1" selected="0">
            <x v="31"/>
          </reference>
        </references>
      </pivotArea>
    </format>
    <format dxfId="495">
      <pivotArea field="0" dataOnly="0" labelOnly="1" grandRow="1" outline="0" axis="axisRow" fieldPosition="0">
        <references count="1">
          <reference field="4294967294" count="1" selected="0">
            <x v="32"/>
          </reference>
        </references>
      </pivotArea>
    </format>
    <format dxfId="494">
      <pivotArea field="0" dataOnly="0" labelOnly="1" grandRow="1" outline="0" axis="axisRow" fieldPosition="0">
        <references count="1">
          <reference field="4294967294" count="1" selected="0">
            <x v="33"/>
          </reference>
        </references>
      </pivotArea>
    </format>
    <format dxfId="493">
      <pivotArea field="0" dataOnly="0" labelOnly="1" grandRow="1" outline="0" axis="axisRow" fieldPosition="0">
        <references count="1">
          <reference field="4294967294" count="1" selected="0">
            <x v="34"/>
          </reference>
        </references>
      </pivotArea>
    </format>
    <format dxfId="492">
      <pivotArea field="0" dataOnly="0" labelOnly="1" grandRow="1" outline="0" axis="axisRow" fieldPosition="0">
        <references count="1">
          <reference field="4294967294" count="1" selected="0">
            <x v="35"/>
          </reference>
        </references>
      </pivotArea>
    </format>
    <format dxfId="491">
      <pivotArea field="0" dataOnly="0" labelOnly="1" grandRow="1" outline="0" axis="axisRow" fieldPosition="0">
        <references count="1">
          <reference field="4294967294" count="1" selected="0">
            <x v="0"/>
          </reference>
        </references>
      </pivotArea>
    </format>
    <format dxfId="490">
      <pivotArea field="0" dataOnly="0" labelOnly="1" grandRow="1" outline="0" axis="axisRow" fieldPosition="0">
        <references count="1">
          <reference field="4294967294" count="1" selected="0">
            <x v="1"/>
          </reference>
        </references>
      </pivotArea>
    </format>
    <format dxfId="489">
      <pivotArea field="0" dataOnly="0" labelOnly="1" grandRow="1" outline="0" axis="axisRow" fieldPosition="0">
        <references count="1">
          <reference field="4294967294" count="1" selected="0">
            <x v="2"/>
          </reference>
        </references>
      </pivotArea>
    </format>
    <format dxfId="488">
      <pivotArea field="0" dataOnly="0" labelOnly="1" grandRow="1" outline="0" axis="axisRow" fieldPosition="0">
        <references count="1">
          <reference field="4294967294" count="1" selected="0">
            <x v="3"/>
          </reference>
        </references>
      </pivotArea>
    </format>
    <format dxfId="487">
      <pivotArea field="0" dataOnly="0" labelOnly="1" grandRow="1" outline="0" axis="axisRow" fieldPosition="0">
        <references count="1">
          <reference field="4294967294" count="1" selected="0">
            <x v="4"/>
          </reference>
        </references>
      </pivotArea>
    </format>
    <format dxfId="486">
      <pivotArea field="0" dataOnly="0" labelOnly="1" grandRow="1" outline="0" axis="axisRow" fieldPosition="0">
        <references count="1">
          <reference field="4294967294" count="1" selected="0">
            <x v="5"/>
          </reference>
        </references>
      </pivotArea>
    </format>
    <format dxfId="485">
      <pivotArea field="0" dataOnly="0" labelOnly="1" grandRow="1" outline="0" axis="axisRow" fieldPosition="0">
        <references count="1">
          <reference field="4294967294" count="1" selected="0">
            <x v="6"/>
          </reference>
        </references>
      </pivotArea>
    </format>
    <format dxfId="484">
      <pivotArea field="0" dataOnly="0" labelOnly="1" grandRow="1" outline="0" axis="axisRow" fieldPosition="0">
        <references count="1">
          <reference field="4294967294" count="1" selected="0">
            <x v="7"/>
          </reference>
        </references>
      </pivotArea>
    </format>
    <format dxfId="483">
      <pivotArea field="0" dataOnly="0" labelOnly="1" grandRow="1" outline="0" axis="axisRow" fieldPosition="0">
        <references count="1">
          <reference field="4294967294" count="1" selected="0">
            <x v="8"/>
          </reference>
        </references>
      </pivotArea>
    </format>
    <format dxfId="482">
      <pivotArea field="0" dataOnly="0" labelOnly="1" grandRow="1" outline="0" axis="axisRow" fieldPosition="0">
        <references count="1">
          <reference field="4294967294" count="1" selected="0">
            <x v="9"/>
          </reference>
        </references>
      </pivotArea>
    </format>
    <format dxfId="481">
      <pivotArea field="0" dataOnly="0" labelOnly="1" grandRow="1" outline="0" axis="axisRow" fieldPosition="0">
        <references count="1">
          <reference field="4294967294" count="1" selected="0">
            <x v="10"/>
          </reference>
        </references>
      </pivotArea>
    </format>
    <format dxfId="480">
      <pivotArea field="0" dataOnly="0" labelOnly="1" grandRow="1" outline="0" axis="axisRow" fieldPosition="0">
        <references count="1">
          <reference field="4294967294" count="1" selected="0">
            <x v="11"/>
          </reference>
        </references>
      </pivotArea>
    </format>
    <format dxfId="479">
      <pivotArea field="0" dataOnly="0" labelOnly="1" grandRow="1" outline="0" axis="axisRow" fieldPosition="0">
        <references count="1">
          <reference field="4294967294" count="1" selected="0">
            <x v="12"/>
          </reference>
        </references>
      </pivotArea>
    </format>
    <format dxfId="478">
      <pivotArea field="0" dataOnly="0" labelOnly="1" grandRow="1" outline="0" axis="axisRow" fieldPosition="0">
        <references count="1">
          <reference field="4294967294" count="1" selected="0">
            <x v="13"/>
          </reference>
        </references>
      </pivotArea>
    </format>
    <format dxfId="477">
      <pivotArea field="0" dataOnly="0" labelOnly="1" grandRow="1" outline="0" axis="axisRow" fieldPosition="0">
        <references count="1">
          <reference field="4294967294" count="1" selected="0">
            <x v="14"/>
          </reference>
        </references>
      </pivotArea>
    </format>
    <format dxfId="476">
      <pivotArea field="0" dataOnly="0" labelOnly="1" grandRow="1" outline="0" axis="axisRow" fieldPosition="0">
        <references count="1">
          <reference field="4294967294" count="1" selected="0">
            <x v="15"/>
          </reference>
        </references>
      </pivotArea>
    </format>
    <format dxfId="475">
      <pivotArea field="0" dataOnly="0" labelOnly="1" grandRow="1" outline="0" axis="axisRow" fieldPosition="0">
        <references count="1">
          <reference field="4294967294" count="1" selected="0">
            <x v="16"/>
          </reference>
        </references>
      </pivotArea>
    </format>
    <format dxfId="474">
      <pivotArea field="0" dataOnly="0" labelOnly="1" grandRow="1" outline="0" axis="axisRow" fieldPosition="0">
        <references count="1">
          <reference field="4294967294" count="1" selected="0">
            <x v="17"/>
          </reference>
        </references>
      </pivotArea>
    </format>
    <format dxfId="473">
      <pivotArea field="0" dataOnly="0" labelOnly="1" grandRow="1" outline="0" axis="axisRow" fieldPosition="0">
        <references count="1">
          <reference field="4294967294" count="1" selected="0">
            <x v="18"/>
          </reference>
        </references>
      </pivotArea>
    </format>
    <format dxfId="472">
      <pivotArea field="0" dataOnly="0" labelOnly="1" grandRow="1" outline="0" axis="axisRow" fieldPosition="0">
        <references count="1">
          <reference field="4294967294" count="1" selected="0">
            <x v="19"/>
          </reference>
        </references>
      </pivotArea>
    </format>
    <format dxfId="471">
      <pivotArea field="0" dataOnly="0" labelOnly="1" grandRow="1" outline="0" axis="axisRow" fieldPosition="0">
        <references count="1">
          <reference field="4294967294" count="1" selected="0">
            <x v="20"/>
          </reference>
        </references>
      </pivotArea>
    </format>
    <format dxfId="470">
      <pivotArea field="0" dataOnly="0" labelOnly="1" grandRow="1" outline="0" axis="axisRow" fieldPosition="0">
        <references count="1">
          <reference field="4294967294" count="1" selected="0">
            <x v="21"/>
          </reference>
        </references>
      </pivotArea>
    </format>
    <format dxfId="469">
      <pivotArea field="0" dataOnly="0" labelOnly="1" grandRow="1" outline="0" axis="axisRow" fieldPosition="0">
        <references count="1">
          <reference field="4294967294" count="1" selected="0">
            <x v="22"/>
          </reference>
        </references>
      </pivotArea>
    </format>
    <format dxfId="468">
      <pivotArea field="0" dataOnly="0" labelOnly="1" grandRow="1" outline="0" axis="axisRow" fieldPosition="0">
        <references count="1">
          <reference field="4294967294" count="1" selected="0">
            <x v="23"/>
          </reference>
        </references>
      </pivotArea>
    </format>
    <format dxfId="467">
      <pivotArea field="0" dataOnly="0" labelOnly="1" grandRow="1" outline="0" axis="axisRow" fieldPosition="0">
        <references count="1">
          <reference field="4294967294" count="1" selected="0">
            <x v="24"/>
          </reference>
        </references>
      </pivotArea>
    </format>
    <format dxfId="466">
      <pivotArea field="0" dataOnly="0" labelOnly="1" grandRow="1" outline="0" axis="axisRow" fieldPosition="0">
        <references count="1">
          <reference field="4294967294" count="1" selected="0">
            <x v="25"/>
          </reference>
        </references>
      </pivotArea>
    </format>
    <format dxfId="465">
      <pivotArea field="0" dataOnly="0" labelOnly="1" grandRow="1" outline="0" axis="axisRow" fieldPosition="0">
        <references count="1">
          <reference field="4294967294" count="1" selected="0">
            <x v="26"/>
          </reference>
        </references>
      </pivotArea>
    </format>
    <format dxfId="464">
      <pivotArea field="0" dataOnly="0" labelOnly="1" grandRow="1" outline="0" axis="axisRow" fieldPosition="0">
        <references count="1">
          <reference field="4294967294" count="1" selected="0">
            <x v="27"/>
          </reference>
        </references>
      </pivotArea>
    </format>
    <format dxfId="463">
      <pivotArea field="0" dataOnly="0" labelOnly="1" grandRow="1" outline="0" axis="axisRow" fieldPosition="0">
        <references count="1">
          <reference field="4294967294" count="1" selected="0">
            <x v="28"/>
          </reference>
        </references>
      </pivotArea>
    </format>
    <format dxfId="462">
      <pivotArea field="0" dataOnly="0" labelOnly="1" grandRow="1" outline="0" axis="axisRow" fieldPosition="0">
        <references count="1">
          <reference field="4294967294" count="1" selected="0">
            <x v="29"/>
          </reference>
        </references>
      </pivotArea>
    </format>
    <format dxfId="461">
      <pivotArea field="0" dataOnly="0" labelOnly="1" grandRow="1" outline="0" axis="axisRow" fieldPosition="0">
        <references count="1">
          <reference field="4294967294" count="1" selected="0">
            <x v="30"/>
          </reference>
        </references>
      </pivotArea>
    </format>
    <format dxfId="460">
      <pivotArea field="0" dataOnly="0" labelOnly="1" grandRow="1" outline="0" axis="axisRow" fieldPosition="0">
        <references count="1">
          <reference field="4294967294" count="1" selected="0">
            <x v="31"/>
          </reference>
        </references>
      </pivotArea>
    </format>
    <format dxfId="459">
      <pivotArea field="0" dataOnly="0" labelOnly="1" grandRow="1" outline="0" axis="axisRow" fieldPosition="0">
        <references count="1">
          <reference field="4294967294" count="1" selected="0">
            <x v="32"/>
          </reference>
        </references>
      </pivotArea>
    </format>
    <format dxfId="458">
      <pivotArea field="0" dataOnly="0" labelOnly="1" grandRow="1" outline="0" axis="axisRow" fieldPosition="0">
        <references count="1">
          <reference field="4294967294" count="1" selected="0">
            <x v="33"/>
          </reference>
        </references>
      </pivotArea>
    </format>
    <format dxfId="457">
      <pivotArea field="0" dataOnly="0" labelOnly="1" grandRow="1" outline="0" axis="axisRow" fieldPosition="0">
        <references count="1">
          <reference field="4294967294" count="1" selected="0">
            <x v="34"/>
          </reference>
        </references>
      </pivotArea>
    </format>
    <format dxfId="456">
      <pivotArea field="0" dataOnly="0" labelOnly="1" grandRow="1" outline="0" axis="axisRow" fieldPosition="0">
        <references count="1">
          <reference field="4294967294" count="1" selected="0">
            <x v="35"/>
          </reference>
        </references>
      </pivotArea>
    </format>
    <format dxfId="455">
      <pivotArea field="0" dataOnly="0" labelOnly="1" grandRow="1" outline="0" axis="axisRow" fieldPosition="0">
        <references count="1">
          <reference field="4294967294" count="1" selected="0">
            <x v="0"/>
          </reference>
        </references>
      </pivotArea>
    </format>
    <format dxfId="454">
      <pivotArea field="0" dataOnly="0" labelOnly="1" grandRow="1" outline="0" axis="axisRow" fieldPosition="0">
        <references count="1">
          <reference field="4294967294" count="1" selected="0">
            <x v="1"/>
          </reference>
        </references>
      </pivotArea>
    </format>
    <format dxfId="453">
      <pivotArea field="0" dataOnly="0" labelOnly="1" grandRow="1" outline="0" axis="axisRow" fieldPosition="0">
        <references count="1">
          <reference field="4294967294" count="1" selected="0">
            <x v="2"/>
          </reference>
        </references>
      </pivotArea>
    </format>
    <format dxfId="452">
      <pivotArea field="0" dataOnly="0" labelOnly="1" grandRow="1" outline="0" axis="axisRow" fieldPosition="0">
        <references count="1">
          <reference field="4294967294" count="1" selected="0">
            <x v="3"/>
          </reference>
        </references>
      </pivotArea>
    </format>
    <format dxfId="451">
      <pivotArea field="0" dataOnly="0" labelOnly="1" grandRow="1" outline="0" axis="axisRow" fieldPosition="0">
        <references count="1">
          <reference field="4294967294" count="1" selected="0">
            <x v="4"/>
          </reference>
        </references>
      </pivotArea>
    </format>
    <format dxfId="450">
      <pivotArea field="0" dataOnly="0" labelOnly="1" grandRow="1" outline="0" axis="axisRow" fieldPosition="0">
        <references count="1">
          <reference field="4294967294" count="1" selected="0">
            <x v="5"/>
          </reference>
        </references>
      </pivotArea>
    </format>
    <format dxfId="449">
      <pivotArea field="0" dataOnly="0" labelOnly="1" grandRow="1" outline="0" axis="axisRow" fieldPosition="0">
        <references count="1">
          <reference field="4294967294" count="1" selected="0">
            <x v="6"/>
          </reference>
        </references>
      </pivotArea>
    </format>
    <format dxfId="448">
      <pivotArea field="0" dataOnly="0" labelOnly="1" grandRow="1" outline="0" axis="axisRow" fieldPosition="0">
        <references count="1">
          <reference field="4294967294" count="1" selected="0">
            <x v="7"/>
          </reference>
        </references>
      </pivotArea>
    </format>
    <format dxfId="447">
      <pivotArea field="0" dataOnly="0" labelOnly="1" grandRow="1" outline="0" axis="axisRow" fieldPosition="0">
        <references count="1">
          <reference field="4294967294" count="1" selected="0">
            <x v="8"/>
          </reference>
        </references>
      </pivotArea>
    </format>
    <format dxfId="446">
      <pivotArea field="0" dataOnly="0" labelOnly="1" grandRow="1" outline="0" axis="axisRow" fieldPosition="0">
        <references count="1">
          <reference field="4294967294" count="1" selected="0">
            <x v="9"/>
          </reference>
        </references>
      </pivotArea>
    </format>
    <format dxfId="445">
      <pivotArea field="0" dataOnly="0" labelOnly="1" grandRow="1" outline="0" axis="axisRow" fieldPosition="0">
        <references count="1">
          <reference field="4294967294" count="1" selected="0">
            <x v="10"/>
          </reference>
        </references>
      </pivotArea>
    </format>
    <format dxfId="444">
      <pivotArea field="0" dataOnly="0" labelOnly="1" grandRow="1" outline="0" axis="axisRow" fieldPosition="0">
        <references count="1">
          <reference field="4294967294" count="1" selected="0">
            <x v="11"/>
          </reference>
        </references>
      </pivotArea>
    </format>
    <format dxfId="443">
      <pivotArea field="0" dataOnly="0" labelOnly="1" grandRow="1" outline="0" axis="axisRow" fieldPosition="0">
        <references count="1">
          <reference field="4294967294" count="1" selected="0">
            <x v="12"/>
          </reference>
        </references>
      </pivotArea>
    </format>
    <format dxfId="442">
      <pivotArea field="0" dataOnly="0" labelOnly="1" grandRow="1" outline="0" axis="axisRow" fieldPosition="0">
        <references count="1">
          <reference field="4294967294" count="1" selected="0">
            <x v="13"/>
          </reference>
        </references>
      </pivotArea>
    </format>
    <format dxfId="441">
      <pivotArea field="0" dataOnly="0" labelOnly="1" grandRow="1" outline="0" axis="axisRow" fieldPosition="0">
        <references count="1">
          <reference field="4294967294" count="1" selected="0">
            <x v="14"/>
          </reference>
        </references>
      </pivotArea>
    </format>
    <format dxfId="440">
      <pivotArea field="0" dataOnly="0" labelOnly="1" grandRow="1" outline="0" axis="axisRow" fieldPosition="0">
        <references count="1">
          <reference field="4294967294" count="1" selected="0">
            <x v="15"/>
          </reference>
        </references>
      </pivotArea>
    </format>
    <format dxfId="439">
      <pivotArea field="0" dataOnly="0" labelOnly="1" grandRow="1" outline="0" axis="axisRow" fieldPosition="0">
        <references count="1">
          <reference field="4294967294" count="1" selected="0">
            <x v="16"/>
          </reference>
        </references>
      </pivotArea>
    </format>
    <format dxfId="438">
      <pivotArea field="0" dataOnly="0" labelOnly="1" grandRow="1" outline="0" axis="axisRow" fieldPosition="0">
        <references count="1">
          <reference field="4294967294" count="1" selected="0">
            <x v="17"/>
          </reference>
        </references>
      </pivotArea>
    </format>
    <format dxfId="437">
      <pivotArea field="0" dataOnly="0" labelOnly="1" grandRow="1" outline="0" axis="axisRow" fieldPosition="0">
        <references count="1">
          <reference field="4294967294" count="1" selected="0">
            <x v="18"/>
          </reference>
        </references>
      </pivotArea>
    </format>
    <format dxfId="436">
      <pivotArea field="0" dataOnly="0" labelOnly="1" grandRow="1" outline="0" axis="axisRow" fieldPosition="0">
        <references count="1">
          <reference field="4294967294" count="1" selected="0">
            <x v="19"/>
          </reference>
        </references>
      </pivotArea>
    </format>
    <format dxfId="435">
      <pivotArea field="0" dataOnly="0" labelOnly="1" grandRow="1" outline="0" axis="axisRow" fieldPosition="0">
        <references count="1">
          <reference field="4294967294" count="1" selected="0">
            <x v="20"/>
          </reference>
        </references>
      </pivotArea>
    </format>
    <format dxfId="434">
      <pivotArea field="0" dataOnly="0" labelOnly="1" grandRow="1" outline="0" axis="axisRow" fieldPosition="0">
        <references count="1">
          <reference field="4294967294" count="1" selected="0">
            <x v="21"/>
          </reference>
        </references>
      </pivotArea>
    </format>
    <format dxfId="433">
      <pivotArea field="0" dataOnly="0" labelOnly="1" grandRow="1" outline="0" axis="axisRow" fieldPosition="0">
        <references count="1">
          <reference field="4294967294" count="1" selected="0">
            <x v="22"/>
          </reference>
        </references>
      </pivotArea>
    </format>
    <format dxfId="432">
      <pivotArea field="0" dataOnly="0" labelOnly="1" grandRow="1" outline="0" axis="axisRow" fieldPosition="0">
        <references count="1">
          <reference field="4294967294" count="1" selected="0">
            <x v="23"/>
          </reference>
        </references>
      </pivotArea>
    </format>
    <format dxfId="431">
      <pivotArea field="0" dataOnly="0" labelOnly="1" grandRow="1" outline="0" axis="axisRow" fieldPosition="0">
        <references count="1">
          <reference field="4294967294" count="1" selected="0">
            <x v="24"/>
          </reference>
        </references>
      </pivotArea>
    </format>
    <format dxfId="430">
      <pivotArea field="0" dataOnly="0" labelOnly="1" grandRow="1" outline="0" axis="axisRow" fieldPosition="0">
        <references count="1">
          <reference field="4294967294" count="1" selected="0">
            <x v="25"/>
          </reference>
        </references>
      </pivotArea>
    </format>
    <format dxfId="429">
      <pivotArea field="0" dataOnly="0" labelOnly="1" grandRow="1" outline="0" axis="axisRow" fieldPosition="0">
        <references count="1">
          <reference field="4294967294" count="1" selected="0">
            <x v="26"/>
          </reference>
        </references>
      </pivotArea>
    </format>
    <format dxfId="428">
      <pivotArea field="0" dataOnly="0" labelOnly="1" grandRow="1" outline="0" axis="axisRow" fieldPosition="0">
        <references count="1">
          <reference field="4294967294" count="1" selected="0">
            <x v="27"/>
          </reference>
        </references>
      </pivotArea>
    </format>
    <format dxfId="427">
      <pivotArea field="0" dataOnly="0" labelOnly="1" grandRow="1" outline="0" axis="axisRow" fieldPosition="0">
        <references count="1">
          <reference field="4294967294" count="1" selected="0">
            <x v="28"/>
          </reference>
        </references>
      </pivotArea>
    </format>
    <format dxfId="426">
      <pivotArea field="0" dataOnly="0" labelOnly="1" grandRow="1" outline="0" axis="axisRow" fieldPosition="0">
        <references count="1">
          <reference field="4294967294" count="1" selected="0">
            <x v="29"/>
          </reference>
        </references>
      </pivotArea>
    </format>
    <format dxfId="425">
      <pivotArea field="0" dataOnly="0" labelOnly="1" grandRow="1" outline="0" axis="axisRow" fieldPosition="0">
        <references count="1">
          <reference field="4294967294" count="1" selected="0">
            <x v="30"/>
          </reference>
        </references>
      </pivotArea>
    </format>
    <format dxfId="424">
      <pivotArea field="0" dataOnly="0" labelOnly="1" grandRow="1" outline="0" axis="axisRow" fieldPosition="0">
        <references count="1">
          <reference field="4294967294" count="1" selected="0">
            <x v="31"/>
          </reference>
        </references>
      </pivotArea>
    </format>
    <format dxfId="423">
      <pivotArea field="0" dataOnly="0" labelOnly="1" grandRow="1" outline="0" axis="axisRow" fieldPosition="0">
        <references count="1">
          <reference field="4294967294" count="1" selected="0">
            <x v="32"/>
          </reference>
        </references>
      </pivotArea>
    </format>
    <format dxfId="422">
      <pivotArea field="0" dataOnly="0" labelOnly="1" grandRow="1" outline="0" axis="axisRow" fieldPosition="0">
        <references count="1">
          <reference field="4294967294" count="1" selected="0">
            <x v="33"/>
          </reference>
        </references>
      </pivotArea>
    </format>
    <format dxfId="421">
      <pivotArea field="0" dataOnly="0" labelOnly="1" grandRow="1" outline="0" axis="axisRow" fieldPosition="0">
        <references count="1">
          <reference field="4294967294" count="1" selected="0">
            <x v="34"/>
          </reference>
        </references>
      </pivotArea>
    </format>
    <format dxfId="420">
      <pivotArea field="0" dataOnly="0" labelOnly="1" grandRow="1" outline="0" axis="axisRow" fieldPosition="0">
        <references count="1">
          <reference field="4294967294" count="1" selected="0">
            <x v="35"/>
          </reference>
        </references>
      </pivotArea>
    </format>
    <format dxfId="419">
      <pivotArea field="0" dataOnly="0" labelOnly="1" grandRow="1" outline="0" axis="axisRow" fieldPosition="0">
        <references count="1">
          <reference field="4294967294" count="1" selected="0">
            <x v="0"/>
          </reference>
        </references>
      </pivotArea>
    </format>
    <format dxfId="418">
      <pivotArea field="0" dataOnly="0" labelOnly="1" grandRow="1" outline="0" axis="axisRow" fieldPosition="0">
        <references count="1">
          <reference field="4294967294" count="1" selected="0">
            <x v="1"/>
          </reference>
        </references>
      </pivotArea>
    </format>
    <format dxfId="417">
      <pivotArea field="0" dataOnly="0" labelOnly="1" grandRow="1" outline="0" axis="axisRow" fieldPosition="0">
        <references count="1">
          <reference field="4294967294" count="1" selected="0">
            <x v="2"/>
          </reference>
        </references>
      </pivotArea>
    </format>
    <format dxfId="416">
      <pivotArea field="0" dataOnly="0" labelOnly="1" grandRow="1" outline="0" axis="axisRow" fieldPosition="0">
        <references count="1">
          <reference field="4294967294" count="1" selected="0">
            <x v="3"/>
          </reference>
        </references>
      </pivotArea>
    </format>
    <format dxfId="415">
      <pivotArea field="0" dataOnly="0" labelOnly="1" grandRow="1" outline="0" axis="axisRow" fieldPosition="0">
        <references count="1">
          <reference field="4294967294" count="1" selected="0">
            <x v="4"/>
          </reference>
        </references>
      </pivotArea>
    </format>
    <format dxfId="414">
      <pivotArea field="0" dataOnly="0" labelOnly="1" grandRow="1" outline="0" axis="axisRow" fieldPosition="0">
        <references count="1">
          <reference field="4294967294" count="1" selected="0">
            <x v="5"/>
          </reference>
        </references>
      </pivotArea>
    </format>
    <format dxfId="413">
      <pivotArea field="0" dataOnly="0" labelOnly="1" grandRow="1" outline="0" axis="axisRow" fieldPosition="0">
        <references count="1">
          <reference field="4294967294" count="1" selected="0">
            <x v="6"/>
          </reference>
        </references>
      </pivotArea>
    </format>
    <format dxfId="412">
      <pivotArea field="0" dataOnly="0" labelOnly="1" grandRow="1" outline="0" axis="axisRow" fieldPosition="0">
        <references count="1">
          <reference field="4294967294" count="1" selected="0">
            <x v="7"/>
          </reference>
        </references>
      </pivotArea>
    </format>
    <format dxfId="411">
      <pivotArea field="0" dataOnly="0" labelOnly="1" grandRow="1" outline="0" axis="axisRow" fieldPosition="0">
        <references count="1">
          <reference field="4294967294" count="1" selected="0">
            <x v="8"/>
          </reference>
        </references>
      </pivotArea>
    </format>
    <format dxfId="410">
      <pivotArea field="0" dataOnly="0" labelOnly="1" grandRow="1" outline="0" axis="axisRow" fieldPosition="0">
        <references count="1">
          <reference field="4294967294" count="1" selected="0">
            <x v="9"/>
          </reference>
        </references>
      </pivotArea>
    </format>
    <format dxfId="409">
      <pivotArea field="0" dataOnly="0" labelOnly="1" grandRow="1" outline="0" axis="axisRow" fieldPosition="0">
        <references count="1">
          <reference field="4294967294" count="1" selected="0">
            <x v="10"/>
          </reference>
        </references>
      </pivotArea>
    </format>
    <format dxfId="408">
      <pivotArea field="0" dataOnly="0" labelOnly="1" grandRow="1" outline="0" axis="axisRow" fieldPosition="0">
        <references count="1">
          <reference field="4294967294" count="1" selected="0">
            <x v="11"/>
          </reference>
        </references>
      </pivotArea>
    </format>
    <format dxfId="407">
      <pivotArea field="0" dataOnly="0" labelOnly="1" grandRow="1" outline="0" axis="axisRow" fieldPosition="0">
        <references count="1">
          <reference field="4294967294" count="1" selected="0">
            <x v="12"/>
          </reference>
        </references>
      </pivotArea>
    </format>
    <format dxfId="406">
      <pivotArea field="0" dataOnly="0" labelOnly="1" grandRow="1" outline="0" axis="axisRow" fieldPosition="0">
        <references count="1">
          <reference field="4294967294" count="1" selected="0">
            <x v="13"/>
          </reference>
        </references>
      </pivotArea>
    </format>
    <format dxfId="405">
      <pivotArea field="0" dataOnly="0" labelOnly="1" grandRow="1" outline="0" axis="axisRow" fieldPosition="0">
        <references count="1">
          <reference field="4294967294" count="1" selected="0">
            <x v="14"/>
          </reference>
        </references>
      </pivotArea>
    </format>
    <format dxfId="404">
      <pivotArea field="0" dataOnly="0" labelOnly="1" grandRow="1" outline="0" axis="axisRow" fieldPosition="0">
        <references count="1">
          <reference field="4294967294" count="1" selected="0">
            <x v="15"/>
          </reference>
        </references>
      </pivotArea>
    </format>
    <format dxfId="403">
      <pivotArea field="0" dataOnly="0" labelOnly="1" grandRow="1" outline="0" axis="axisRow" fieldPosition="0">
        <references count="1">
          <reference field="4294967294" count="1" selected="0">
            <x v="16"/>
          </reference>
        </references>
      </pivotArea>
    </format>
    <format dxfId="402">
      <pivotArea field="0" dataOnly="0" labelOnly="1" grandRow="1" outline="0" axis="axisRow" fieldPosition="0">
        <references count="1">
          <reference field="4294967294" count="1" selected="0">
            <x v="17"/>
          </reference>
        </references>
      </pivotArea>
    </format>
    <format dxfId="401">
      <pivotArea field="0" dataOnly="0" labelOnly="1" grandRow="1" outline="0" axis="axisRow" fieldPosition="0">
        <references count="1">
          <reference field="4294967294" count="1" selected="0">
            <x v="18"/>
          </reference>
        </references>
      </pivotArea>
    </format>
    <format dxfId="400">
      <pivotArea field="0" dataOnly="0" labelOnly="1" grandRow="1" outline="0" axis="axisRow" fieldPosition="0">
        <references count="1">
          <reference field="4294967294" count="1" selected="0">
            <x v="19"/>
          </reference>
        </references>
      </pivotArea>
    </format>
    <format dxfId="399">
      <pivotArea field="0" dataOnly="0" labelOnly="1" grandRow="1" outline="0" axis="axisRow" fieldPosition="0">
        <references count="1">
          <reference field="4294967294" count="1" selected="0">
            <x v="20"/>
          </reference>
        </references>
      </pivotArea>
    </format>
    <format dxfId="398">
      <pivotArea field="0" dataOnly="0" labelOnly="1" grandRow="1" outline="0" axis="axisRow" fieldPosition="0">
        <references count="1">
          <reference field="4294967294" count="1" selected="0">
            <x v="21"/>
          </reference>
        </references>
      </pivotArea>
    </format>
    <format dxfId="397">
      <pivotArea field="0" dataOnly="0" labelOnly="1" grandRow="1" outline="0" axis="axisRow" fieldPosition="0">
        <references count="1">
          <reference field="4294967294" count="1" selected="0">
            <x v="22"/>
          </reference>
        </references>
      </pivotArea>
    </format>
    <format dxfId="396">
      <pivotArea field="0" dataOnly="0" labelOnly="1" grandRow="1" outline="0" axis="axisRow" fieldPosition="0">
        <references count="1">
          <reference field="4294967294" count="1" selected="0">
            <x v="23"/>
          </reference>
        </references>
      </pivotArea>
    </format>
    <format dxfId="395">
      <pivotArea field="0" dataOnly="0" labelOnly="1" grandRow="1" outline="0" axis="axisRow" fieldPosition="0">
        <references count="1">
          <reference field="4294967294" count="1" selected="0">
            <x v="24"/>
          </reference>
        </references>
      </pivotArea>
    </format>
    <format dxfId="394">
      <pivotArea field="0" dataOnly="0" labelOnly="1" grandRow="1" outline="0" axis="axisRow" fieldPosition="0">
        <references count="1">
          <reference field="4294967294" count="1" selected="0">
            <x v="25"/>
          </reference>
        </references>
      </pivotArea>
    </format>
    <format dxfId="393">
      <pivotArea field="0" dataOnly="0" labelOnly="1" grandRow="1" outline="0" axis="axisRow" fieldPosition="0">
        <references count="1">
          <reference field="4294967294" count="1" selected="0">
            <x v="26"/>
          </reference>
        </references>
      </pivotArea>
    </format>
    <format dxfId="392">
      <pivotArea field="0" dataOnly="0" labelOnly="1" grandRow="1" outline="0" axis="axisRow" fieldPosition="0">
        <references count="1">
          <reference field="4294967294" count="1" selected="0">
            <x v="27"/>
          </reference>
        </references>
      </pivotArea>
    </format>
    <format dxfId="391">
      <pivotArea field="0" dataOnly="0" labelOnly="1" grandRow="1" outline="0" axis="axisRow" fieldPosition="0">
        <references count="1">
          <reference field="4294967294" count="1" selected="0">
            <x v="28"/>
          </reference>
        </references>
      </pivotArea>
    </format>
    <format dxfId="390">
      <pivotArea field="0" dataOnly="0" labelOnly="1" grandRow="1" outline="0" axis="axisRow" fieldPosition="0">
        <references count="1">
          <reference field="4294967294" count="1" selected="0">
            <x v="29"/>
          </reference>
        </references>
      </pivotArea>
    </format>
    <format dxfId="389">
      <pivotArea field="0" dataOnly="0" labelOnly="1" grandRow="1" outline="0" axis="axisRow" fieldPosition="0">
        <references count="1">
          <reference field="4294967294" count="1" selected="0">
            <x v="30"/>
          </reference>
        </references>
      </pivotArea>
    </format>
    <format dxfId="388">
      <pivotArea field="0" dataOnly="0" labelOnly="1" grandRow="1" outline="0" axis="axisRow" fieldPosition="0">
        <references count="1">
          <reference field="4294967294" count="1" selected="0">
            <x v="31"/>
          </reference>
        </references>
      </pivotArea>
    </format>
    <format dxfId="387">
      <pivotArea field="0" dataOnly="0" labelOnly="1" grandRow="1" outline="0" axis="axisRow" fieldPosition="0">
        <references count="1">
          <reference field="4294967294" count="1" selected="0">
            <x v="32"/>
          </reference>
        </references>
      </pivotArea>
    </format>
    <format dxfId="386">
      <pivotArea field="0" dataOnly="0" labelOnly="1" grandRow="1" outline="0" axis="axisRow" fieldPosition="0">
        <references count="1">
          <reference field="4294967294" count="1" selected="0">
            <x v="33"/>
          </reference>
        </references>
      </pivotArea>
    </format>
    <format dxfId="385">
      <pivotArea field="0" dataOnly="0" labelOnly="1" grandRow="1" outline="0" axis="axisRow" fieldPosition="0">
        <references count="1">
          <reference field="4294967294" count="1" selected="0">
            <x v="34"/>
          </reference>
        </references>
      </pivotArea>
    </format>
    <format dxfId="384">
      <pivotArea field="0" dataOnly="0" labelOnly="1" grandRow="1" outline="0" axis="axisRow" fieldPosition="0">
        <references count="1">
          <reference field="4294967294" count="1" selected="0">
            <x v="35"/>
          </reference>
        </references>
      </pivotArea>
    </format>
    <format dxfId="383">
      <pivotArea field="0" dataOnly="0" labelOnly="1" grandRow="1" outline="0" axis="axisRow" fieldPosition="0">
        <references count="1">
          <reference field="4294967294" count="1" selected="0">
            <x v="0"/>
          </reference>
        </references>
      </pivotArea>
    </format>
    <format dxfId="382">
      <pivotArea field="0" dataOnly="0" labelOnly="1" grandRow="1" outline="0" axis="axisRow" fieldPosition="0">
        <references count="1">
          <reference field="4294967294" count="1" selected="0">
            <x v="1"/>
          </reference>
        </references>
      </pivotArea>
    </format>
    <format dxfId="381">
      <pivotArea field="0" dataOnly="0" labelOnly="1" grandRow="1" outline="0" axis="axisRow" fieldPosition="0">
        <references count="1">
          <reference field="4294967294" count="1" selected="0">
            <x v="2"/>
          </reference>
        </references>
      </pivotArea>
    </format>
    <format dxfId="380">
      <pivotArea field="0" dataOnly="0" labelOnly="1" grandRow="1" outline="0" axis="axisRow" fieldPosition="0">
        <references count="1">
          <reference field="4294967294" count="1" selected="0">
            <x v="3"/>
          </reference>
        </references>
      </pivotArea>
    </format>
    <format dxfId="379">
      <pivotArea field="0" dataOnly="0" labelOnly="1" grandRow="1" outline="0" axis="axisRow" fieldPosition="0">
        <references count="1">
          <reference field="4294967294" count="1" selected="0">
            <x v="4"/>
          </reference>
        </references>
      </pivotArea>
    </format>
    <format dxfId="378">
      <pivotArea field="0" dataOnly="0" labelOnly="1" grandRow="1" outline="0" axis="axisRow" fieldPosition="0">
        <references count="1">
          <reference field="4294967294" count="1" selected="0">
            <x v="5"/>
          </reference>
        </references>
      </pivotArea>
    </format>
    <format dxfId="377">
      <pivotArea field="0" dataOnly="0" labelOnly="1" grandRow="1" outline="0" axis="axisRow" fieldPosition="0">
        <references count="1">
          <reference field="4294967294" count="1" selected="0">
            <x v="6"/>
          </reference>
        </references>
      </pivotArea>
    </format>
    <format dxfId="376">
      <pivotArea field="0" dataOnly="0" labelOnly="1" grandRow="1" outline="0" axis="axisRow" fieldPosition="0">
        <references count="1">
          <reference field="4294967294" count="1" selected="0">
            <x v="7"/>
          </reference>
        </references>
      </pivotArea>
    </format>
    <format dxfId="375">
      <pivotArea field="0" dataOnly="0" labelOnly="1" grandRow="1" outline="0" axis="axisRow" fieldPosition="0">
        <references count="1">
          <reference field="4294967294" count="1" selected="0">
            <x v="8"/>
          </reference>
        </references>
      </pivotArea>
    </format>
    <format dxfId="374">
      <pivotArea field="0" dataOnly="0" labelOnly="1" grandRow="1" outline="0" axis="axisRow" fieldPosition="0">
        <references count="1">
          <reference field="4294967294" count="1" selected="0">
            <x v="9"/>
          </reference>
        </references>
      </pivotArea>
    </format>
    <format dxfId="373">
      <pivotArea field="0" dataOnly="0" labelOnly="1" grandRow="1" outline="0" axis="axisRow" fieldPosition="0">
        <references count="1">
          <reference field="4294967294" count="1" selected="0">
            <x v="10"/>
          </reference>
        </references>
      </pivotArea>
    </format>
    <format dxfId="372">
      <pivotArea field="0" dataOnly="0" labelOnly="1" grandRow="1" outline="0" axis="axisRow" fieldPosition="0">
        <references count="1">
          <reference field="4294967294" count="1" selected="0">
            <x v="11"/>
          </reference>
        </references>
      </pivotArea>
    </format>
    <format dxfId="371">
      <pivotArea field="0" dataOnly="0" labelOnly="1" grandRow="1" outline="0" axis="axisRow" fieldPosition="0">
        <references count="1">
          <reference field="4294967294" count="1" selected="0">
            <x v="12"/>
          </reference>
        </references>
      </pivotArea>
    </format>
    <format dxfId="370">
      <pivotArea field="0" dataOnly="0" labelOnly="1" grandRow="1" outline="0" axis="axisRow" fieldPosition="0">
        <references count="1">
          <reference field="4294967294" count="1" selected="0">
            <x v="13"/>
          </reference>
        </references>
      </pivotArea>
    </format>
    <format dxfId="369">
      <pivotArea field="0" dataOnly="0" labelOnly="1" grandRow="1" outline="0" axis="axisRow" fieldPosition="0">
        <references count="1">
          <reference field="4294967294" count="1" selected="0">
            <x v="14"/>
          </reference>
        </references>
      </pivotArea>
    </format>
    <format dxfId="368">
      <pivotArea field="0" dataOnly="0" labelOnly="1" grandRow="1" outline="0" axis="axisRow" fieldPosition="0">
        <references count="1">
          <reference field="4294967294" count="1" selected="0">
            <x v="15"/>
          </reference>
        </references>
      </pivotArea>
    </format>
    <format dxfId="367">
      <pivotArea field="0" dataOnly="0" labelOnly="1" grandRow="1" outline="0" axis="axisRow" fieldPosition="0">
        <references count="1">
          <reference field="4294967294" count="1" selected="0">
            <x v="16"/>
          </reference>
        </references>
      </pivotArea>
    </format>
    <format dxfId="366">
      <pivotArea field="0" dataOnly="0" labelOnly="1" grandRow="1" outline="0" axis="axisRow" fieldPosition="0">
        <references count="1">
          <reference field="4294967294" count="1" selected="0">
            <x v="17"/>
          </reference>
        </references>
      </pivotArea>
    </format>
    <format dxfId="365">
      <pivotArea field="0" dataOnly="0" labelOnly="1" grandRow="1" outline="0" axis="axisRow" fieldPosition="0">
        <references count="1">
          <reference field="4294967294" count="1" selected="0">
            <x v="18"/>
          </reference>
        </references>
      </pivotArea>
    </format>
    <format dxfId="364">
      <pivotArea field="0" dataOnly="0" labelOnly="1" grandRow="1" outline="0" axis="axisRow" fieldPosition="0">
        <references count="1">
          <reference field="4294967294" count="1" selected="0">
            <x v="19"/>
          </reference>
        </references>
      </pivotArea>
    </format>
    <format dxfId="363">
      <pivotArea field="0" dataOnly="0" labelOnly="1" grandRow="1" outline="0" axis="axisRow" fieldPosition="0">
        <references count="1">
          <reference field="4294967294" count="1" selected="0">
            <x v="20"/>
          </reference>
        </references>
      </pivotArea>
    </format>
    <format dxfId="362">
      <pivotArea field="0" dataOnly="0" labelOnly="1" grandRow="1" outline="0" axis="axisRow" fieldPosition="0">
        <references count="1">
          <reference field="4294967294" count="1" selected="0">
            <x v="21"/>
          </reference>
        </references>
      </pivotArea>
    </format>
    <format dxfId="361">
      <pivotArea field="0" dataOnly="0" labelOnly="1" grandRow="1" outline="0" axis="axisRow" fieldPosition="0">
        <references count="1">
          <reference field="4294967294" count="1" selected="0">
            <x v="22"/>
          </reference>
        </references>
      </pivotArea>
    </format>
    <format dxfId="360">
      <pivotArea field="0" dataOnly="0" labelOnly="1" grandRow="1" outline="0" axis="axisRow" fieldPosition="0">
        <references count="1">
          <reference field="4294967294" count="1" selected="0">
            <x v="23"/>
          </reference>
        </references>
      </pivotArea>
    </format>
    <format dxfId="359">
      <pivotArea field="0" dataOnly="0" labelOnly="1" grandRow="1" outline="0" axis="axisRow" fieldPosition="0">
        <references count="1">
          <reference field="4294967294" count="1" selected="0">
            <x v="24"/>
          </reference>
        </references>
      </pivotArea>
    </format>
    <format dxfId="358">
      <pivotArea field="0" dataOnly="0" labelOnly="1" grandRow="1" outline="0" axis="axisRow" fieldPosition="0">
        <references count="1">
          <reference field="4294967294" count="1" selected="0">
            <x v="25"/>
          </reference>
        </references>
      </pivotArea>
    </format>
    <format dxfId="357">
      <pivotArea field="0" dataOnly="0" labelOnly="1" grandRow="1" outline="0" axis="axisRow" fieldPosition="0">
        <references count="1">
          <reference field="4294967294" count="1" selected="0">
            <x v="26"/>
          </reference>
        </references>
      </pivotArea>
    </format>
    <format dxfId="356">
      <pivotArea field="0" dataOnly="0" labelOnly="1" grandRow="1" outline="0" axis="axisRow" fieldPosition="0">
        <references count="1">
          <reference field="4294967294" count="1" selected="0">
            <x v="27"/>
          </reference>
        </references>
      </pivotArea>
    </format>
    <format dxfId="355">
      <pivotArea field="0" dataOnly="0" labelOnly="1" grandRow="1" outline="0" axis="axisRow" fieldPosition="0">
        <references count="1">
          <reference field="4294967294" count="1" selected="0">
            <x v="28"/>
          </reference>
        </references>
      </pivotArea>
    </format>
    <format dxfId="354">
      <pivotArea field="0" dataOnly="0" labelOnly="1" grandRow="1" outline="0" axis="axisRow" fieldPosition="0">
        <references count="1">
          <reference field="4294967294" count="1" selected="0">
            <x v="29"/>
          </reference>
        </references>
      </pivotArea>
    </format>
    <format dxfId="353">
      <pivotArea field="0" dataOnly="0" labelOnly="1" grandRow="1" outline="0" axis="axisRow" fieldPosition="0">
        <references count="1">
          <reference field="4294967294" count="1" selected="0">
            <x v="30"/>
          </reference>
        </references>
      </pivotArea>
    </format>
    <format dxfId="352">
      <pivotArea field="0" dataOnly="0" labelOnly="1" grandRow="1" outline="0" axis="axisRow" fieldPosition="0">
        <references count="1">
          <reference field="4294967294" count="1" selected="0">
            <x v="31"/>
          </reference>
        </references>
      </pivotArea>
    </format>
    <format dxfId="351">
      <pivotArea field="0" dataOnly="0" labelOnly="1" grandRow="1" outline="0" axis="axisRow" fieldPosition="0">
        <references count="1">
          <reference field="4294967294" count="1" selected="0">
            <x v="32"/>
          </reference>
        </references>
      </pivotArea>
    </format>
    <format dxfId="350">
      <pivotArea field="0" dataOnly="0" labelOnly="1" grandRow="1" outline="0" axis="axisRow" fieldPosition="0">
        <references count="1">
          <reference field="4294967294" count="1" selected="0">
            <x v="33"/>
          </reference>
        </references>
      </pivotArea>
    </format>
    <format dxfId="349">
      <pivotArea field="0" dataOnly="0" labelOnly="1" grandRow="1" outline="0" axis="axisRow" fieldPosition="0">
        <references count="1">
          <reference field="4294967294" count="1" selected="0">
            <x v="34"/>
          </reference>
        </references>
      </pivotArea>
    </format>
    <format dxfId="348">
      <pivotArea field="0" dataOnly="0" labelOnly="1" grandRow="1" outline="0" axis="axisRow" fieldPosition="0">
        <references count="1">
          <reference field="4294967294" count="1" selected="0">
            <x v="35"/>
          </reference>
        </references>
      </pivotArea>
    </format>
    <format dxfId="347">
      <pivotArea field="0" dataOnly="0" labelOnly="1" grandRow="1" outline="0" axis="axisRow" fieldPosition="0">
        <references count="1">
          <reference field="4294967294" count="1" selected="0">
            <x v="0"/>
          </reference>
        </references>
      </pivotArea>
    </format>
    <format dxfId="346">
      <pivotArea field="0" dataOnly="0" labelOnly="1" grandRow="1" outline="0" axis="axisRow" fieldPosition="0">
        <references count="1">
          <reference field="4294967294" count="1" selected="0">
            <x v="1"/>
          </reference>
        </references>
      </pivotArea>
    </format>
    <format dxfId="345">
      <pivotArea field="0" dataOnly="0" labelOnly="1" grandRow="1" outline="0" axis="axisRow" fieldPosition="0">
        <references count="1">
          <reference field="4294967294" count="1" selected="0">
            <x v="2"/>
          </reference>
        </references>
      </pivotArea>
    </format>
    <format dxfId="344">
      <pivotArea field="0" dataOnly="0" labelOnly="1" grandRow="1" outline="0" axis="axisRow" fieldPosition="0">
        <references count="1">
          <reference field="4294967294" count="1" selected="0">
            <x v="3"/>
          </reference>
        </references>
      </pivotArea>
    </format>
    <format dxfId="343">
      <pivotArea field="0" dataOnly="0" labelOnly="1" grandRow="1" outline="0" axis="axisRow" fieldPosition="0">
        <references count="1">
          <reference field="4294967294" count="1" selected="0">
            <x v="4"/>
          </reference>
        </references>
      </pivotArea>
    </format>
    <format dxfId="342">
      <pivotArea field="0" dataOnly="0" labelOnly="1" grandRow="1" outline="0" axis="axisRow" fieldPosition="0">
        <references count="1">
          <reference field="4294967294" count="1" selected="0">
            <x v="5"/>
          </reference>
        </references>
      </pivotArea>
    </format>
    <format dxfId="341">
      <pivotArea field="0" dataOnly="0" labelOnly="1" grandRow="1" outline="0" axis="axisRow" fieldPosition="0">
        <references count="1">
          <reference field="4294967294" count="1" selected="0">
            <x v="6"/>
          </reference>
        </references>
      </pivotArea>
    </format>
    <format dxfId="340">
      <pivotArea field="0" dataOnly="0" labelOnly="1" grandRow="1" outline="0" axis="axisRow" fieldPosition="0">
        <references count="1">
          <reference field="4294967294" count="1" selected="0">
            <x v="7"/>
          </reference>
        </references>
      </pivotArea>
    </format>
    <format dxfId="339">
      <pivotArea field="0" dataOnly="0" labelOnly="1" grandRow="1" outline="0" axis="axisRow" fieldPosition="0">
        <references count="1">
          <reference field="4294967294" count="1" selected="0">
            <x v="8"/>
          </reference>
        </references>
      </pivotArea>
    </format>
    <format dxfId="338">
      <pivotArea field="0" dataOnly="0" labelOnly="1" grandRow="1" outline="0" axis="axisRow" fieldPosition="0">
        <references count="1">
          <reference field="4294967294" count="1" selected="0">
            <x v="9"/>
          </reference>
        </references>
      </pivotArea>
    </format>
    <format dxfId="337">
      <pivotArea field="0" dataOnly="0" labelOnly="1" grandRow="1" outline="0" axis="axisRow" fieldPosition="0">
        <references count="1">
          <reference field="4294967294" count="1" selected="0">
            <x v="10"/>
          </reference>
        </references>
      </pivotArea>
    </format>
    <format dxfId="336">
      <pivotArea field="0" dataOnly="0" labelOnly="1" grandRow="1" outline="0" axis="axisRow" fieldPosition="0">
        <references count="1">
          <reference field="4294967294" count="1" selected="0">
            <x v="11"/>
          </reference>
        </references>
      </pivotArea>
    </format>
    <format dxfId="335">
      <pivotArea field="0" dataOnly="0" labelOnly="1" grandRow="1" outline="0" axis="axisRow" fieldPosition="0">
        <references count="1">
          <reference field="4294967294" count="1" selected="0">
            <x v="12"/>
          </reference>
        </references>
      </pivotArea>
    </format>
    <format dxfId="334">
      <pivotArea field="0" dataOnly="0" labelOnly="1" grandRow="1" outline="0" axis="axisRow" fieldPosition="0">
        <references count="1">
          <reference field="4294967294" count="1" selected="0">
            <x v="13"/>
          </reference>
        </references>
      </pivotArea>
    </format>
    <format dxfId="333">
      <pivotArea field="0" dataOnly="0" labelOnly="1" grandRow="1" outline="0" axis="axisRow" fieldPosition="0">
        <references count="1">
          <reference field="4294967294" count="1" selected="0">
            <x v="14"/>
          </reference>
        </references>
      </pivotArea>
    </format>
    <format dxfId="332">
      <pivotArea field="0" dataOnly="0" labelOnly="1" grandRow="1" outline="0" axis="axisRow" fieldPosition="0">
        <references count="1">
          <reference field="4294967294" count="1" selected="0">
            <x v="15"/>
          </reference>
        </references>
      </pivotArea>
    </format>
    <format dxfId="331">
      <pivotArea field="0" dataOnly="0" labelOnly="1" grandRow="1" outline="0" axis="axisRow" fieldPosition="0">
        <references count="1">
          <reference field="4294967294" count="1" selected="0">
            <x v="16"/>
          </reference>
        </references>
      </pivotArea>
    </format>
    <format dxfId="330">
      <pivotArea field="0" dataOnly="0" labelOnly="1" grandRow="1" outline="0" axis="axisRow" fieldPosition="0">
        <references count="1">
          <reference field="4294967294" count="1" selected="0">
            <x v="17"/>
          </reference>
        </references>
      </pivotArea>
    </format>
    <format dxfId="329">
      <pivotArea field="0" dataOnly="0" labelOnly="1" grandRow="1" outline="0" axis="axisRow" fieldPosition="0">
        <references count="1">
          <reference field="4294967294" count="1" selected="0">
            <x v="18"/>
          </reference>
        </references>
      </pivotArea>
    </format>
    <format dxfId="328">
      <pivotArea field="0" dataOnly="0" labelOnly="1" grandRow="1" outline="0" axis="axisRow" fieldPosition="0">
        <references count="1">
          <reference field="4294967294" count="1" selected="0">
            <x v="19"/>
          </reference>
        </references>
      </pivotArea>
    </format>
    <format dxfId="327">
      <pivotArea field="0" dataOnly="0" labelOnly="1" grandRow="1" outline="0" axis="axisRow" fieldPosition="0">
        <references count="1">
          <reference field="4294967294" count="1" selected="0">
            <x v="20"/>
          </reference>
        </references>
      </pivotArea>
    </format>
    <format dxfId="326">
      <pivotArea field="0" dataOnly="0" labelOnly="1" grandRow="1" outline="0" axis="axisRow" fieldPosition="0">
        <references count="1">
          <reference field="4294967294" count="1" selected="0">
            <x v="21"/>
          </reference>
        </references>
      </pivotArea>
    </format>
    <format dxfId="325">
      <pivotArea field="0" dataOnly="0" labelOnly="1" grandRow="1" outline="0" axis="axisRow" fieldPosition="0">
        <references count="1">
          <reference field="4294967294" count="1" selected="0">
            <x v="22"/>
          </reference>
        </references>
      </pivotArea>
    </format>
    <format dxfId="324">
      <pivotArea field="0" dataOnly="0" labelOnly="1" grandRow="1" outline="0" axis="axisRow" fieldPosition="0">
        <references count="1">
          <reference field="4294967294" count="1" selected="0">
            <x v="23"/>
          </reference>
        </references>
      </pivotArea>
    </format>
    <format dxfId="323">
      <pivotArea field="0" dataOnly="0" labelOnly="1" grandRow="1" outline="0" axis="axisRow" fieldPosition="0">
        <references count="1">
          <reference field="4294967294" count="1" selected="0">
            <x v="24"/>
          </reference>
        </references>
      </pivotArea>
    </format>
    <format dxfId="322">
      <pivotArea field="0" dataOnly="0" labelOnly="1" grandRow="1" outline="0" axis="axisRow" fieldPosition="0">
        <references count="1">
          <reference field="4294967294" count="1" selected="0">
            <x v="25"/>
          </reference>
        </references>
      </pivotArea>
    </format>
    <format dxfId="321">
      <pivotArea field="0" dataOnly="0" labelOnly="1" grandRow="1" outline="0" axis="axisRow" fieldPosition="0">
        <references count="1">
          <reference field="4294967294" count="1" selected="0">
            <x v="26"/>
          </reference>
        </references>
      </pivotArea>
    </format>
    <format dxfId="320">
      <pivotArea field="0" dataOnly="0" labelOnly="1" grandRow="1" outline="0" axis="axisRow" fieldPosition="0">
        <references count="1">
          <reference field="4294967294" count="1" selected="0">
            <x v="27"/>
          </reference>
        </references>
      </pivotArea>
    </format>
    <format dxfId="319">
      <pivotArea field="0" dataOnly="0" labelOnly="1" grandRow="1" outline="0" axis="axisRow" fieldPosition="0">
        <references count="1">
          <reference field="4294967294" count="1" selected="0">
            <x v="28"/>
          </reference>
        </references>
      </pivotArea>
    </format>
    <format dxfId="318">
      <pivotArea field="0" dataOnly="0" labelOnly="1" grandRow="1" outline="0" axis="axisRow" fieldPosition="0">
        <references count="1">
          <reference field="4294967294" count="1" selected="0">
            <x v="29"/>
          </reference>
        </references>
      </pivotArea>
    </format>
    <format dxfId="317">
      <pivotArea field="0" dataOnly="0" labelOnly="1" grandRow="1" outline="0" axis="axisRow" fieldPosition="0">
        <references count="1">
          <reference field="4294967294" count="1" selected="0">
            <x v="30"/>
          </reference>
        </references>
      </pivotArea>
    </format>
    <format dxfId="316">
      <pivotArea field="0" dataOnly="0" labelOnly="1" grandRow="1" outline="0" axis="axisRow" fieldPosition="0">
        <references count="1">
          <reference field="4294967294" count="1" selected="0">
            <x v="31"/>
          </reference>
        </references>
      </pivotArea>
    </format>
    <format dxfId="315">
      <pivotArea field="0" dataOnly="0" labelOnly="1" grandRow="1" outline="0" axis="axisRow" fieldPosition="0">
        <references count="1">
          <reference field="4294967294" count="1" selected="0">
            <x v="32"/>
          </reference>
        </references>
      </pivotArea>
    </format>
    <format dxfId="314">
      <pivotArea field="0" dataOnly="0" labelOnly="1" grandRow="1" outline="0" axis="axisRow" fieldPosition="0">
        <references count="1">
          <reference field="4294967294" count="1" selected="0">
            <x v="33"/>
          </reference>
        </references>
      </pivotArea>
    </format>
    <format dxfId="313">
      <pivotArea field="0" dataOnly="0" labelOnly="1" grandRow="1" outline="0" axis="axisRow" fieldPosition="0">
        <references count="1">
          <reference field="4294967294" count="1" selected="0">
            <x v="34"/>
          </reference>
        </references>
      </pivotArea>
    </format>
    <format dxfId="312">
      <pivotArea field="0" dataOnly="0" labelOnly="1" grandRow="1" outline="0" axis="axisRow" fieldPosition="0">
        <references count="1">
          <reference field="4294967294" count="1" selected="0">
            <x v="35"/>
          </reference>
        </references>
      </pivotArea>
    </format>
    <format dxfId="311">
      <pivotArea field="0" dataOnly="0" labelOnly="1" grandRow="1" outline="0" axis="axisRow" fieldPosition="0">
        <references count="1">
          <reference field="4294967294" count="1" selected="0">
            <x v="0"/>
          </reference>
        </references>
      </pivotArea>
    </format>
    <format dxfId="310">
      <pivotArea field="0" dataOnly="0" labelOnly="1" grandRow="1" outline="0" axis="axisRow" fieldPosition="0">
        <references count="1">
          <reference field="4294967294" count="1" selected="0">
            <x v="1"/>
          </reference>
        </references>
      </pivotArea>
    </format>
    <format dxfId="309">
      <pivotArea field="0" dataOnly="0" labelOnly="1" grandRow="1" outline="0" axis="axisRow" fieldPosition="0">
        <references count="1">
          <reference field="4294967294" count="1" selected="0">
            <x v="2"/>
          </reference>
        </references>
      </pivotArea>
    </format>
    <format dxfId="308">
      <pivotArea field="0" dataOnly="0" labelOnly="1" grandRow="1" outline="0" axis="axisRow" fieldPosition="0">
        <references count="1">
          <reference field="4294967294" count="1" selected="0">
            <x v="3"/>
          </reference>
        </references>
      </pivotArea>
    </format>
    <format dxfId="307">
      <pivotArea field="0" dataOnly="0" labelOnly="1" grandRow="1" outline="0" axis="axisRow" fieldPosition="0">
        <references count="1">
          <reference field="4294967294" count="1" selected="0">
            <x v="4"/>
          </reference>
        </references>
      </pivotArea>
    </format>
    <format dxfId="306">
      <pivotArea field="0" dataOnly="0" labelOnly="1" grandRow="1" outline="0" axis="axisRow" fieldPosition="0">
        <references count="1">
          <reference field="4294967294" count="1" selected="0">
            <x v="5"/>
          </reference>
        </references>
      </pivotArea>
    </format>
    <format dxfId="305">
      <pivotArea field="0" dataOnly="0" labelOnly="1" grandRow="1" outline="0" axis="axisRow" fieldPosition="0">
        <references count="1">
          <reference field="4294967294" count="1" selected="0">
            <x v="6"/>
          </reference>
        </references>
      </pivotArea>
    </format>
    <format dxfId="304">
      <pivotArea field="0" dataOnly="0" labelOnly="1" grandRow="1" outline="0" axis="axisRow" fieldPosition="0">
        <references count="1">
          <reference field="4294967294" count="1" selected="0">
            <x v="7"/>
          </reference>
        </references>
      </pivotArea>
    </format>
    <format dxfId="303">
      <pivotArea field="0" dataOnly="0" labelOnly="1" grandRow="1" outline="0" axis="axisRow" fieldPosition="0">
        <references count="1">
          <reference field="4294967294" count="1" selected="0">
            <x v="8"/>
          </reference>
        </references>
      </pivotArea>
    </format>
    <format dxfId="302">
      <pivotArea field="0" dataOnly="0" labelOnly="1" grandRow="1" outline="0" axis="axisRow" fieldPosition="0">
        <references count="1">
          <reference field="4294967294" count="1" selected="0">
            <x v="9"/>
          </reference>
        </references>
      </pivotArea>
    </format>
    <format dxfId="301">
      <pivotArea field="0" dataOnly="0" labelOnly="1" grandRow="1" outline="0" axis="axisRow" fieldPosition="0">
        <references count="1">
          <reference field="4294967294" count="1" selected="0">
            <x v="10"/>
          </reference>
        </references>
      </pivotArea>
    </format>
    <format dxfId="300">
      <pivotArea field="0" dataOnly="0" labelOnly="1" grandRow="1" outline="0" axis="axisRow" fieldPosition="0">
        <references count="1">
          <reference field="4294967294" count="1" selected="0">
            <x v="11"/>
          </reference>
        </references>
      </pivotArea>
    </format>
    <format dxfId="299">
      <pivotArea field="0" dataOnly="0" labelOnly="1" grandRow="1" outline="0" axis="axisRow" fieldPosition="0">
        <references count="1">
          <reference field="4294967294" count="1" selected="0">
            <x v="12"/>
          </reference>
        </references>
      </pivotArea>
    </format>
    <format dxfId="298">
      <pivotArea field="0" dataOnly="0" labelOnly="1" grandRow="1" outline="0" axis="axisRow" fieldPosition="0">
        <references count="1">
          <reference field="4294967294" count="1" selected="0">
            <x v="13"/>
          </reference>
        </references>
      </pivotArea>
    </format>
    <format dxfId="297">
      <pivotArea field="0" dataOnly="0" labelOnly="1" grandRow="1" outline="0" axis="axisRow" fieldPosition="0">
        <references count="1">
          <reference field="4294967294" count="1" selected="0">
            <x v="14"/>
          </reference>
        </references>
      </pivotArea>
    </format>
    <format dxfId="296">
      <pivotArea field="0" dataOnly="0" labelOnly="1" grandRow="1" outline="0" axis="axisRow" fieldPosition="0">
        <references count="1">
          <reference field="4294967294" count="1" selected="0">
            <x v="15"/>
          </reference>
        </references>
      </pivotArea>
    </format>
    <format dxfId="295">
      <pivotArea field="0" dataOnly="0" labelOnly="1" grandRow="1" outline="0" axis="axisRow" fieldPosition="0">
        <references count="1">
          <reference field="4294967294" count="1" selected="0">
            <x v="16"/>
          </reference>
        </references>
      </pivotArea>
    </format>
    <format dxfId="294">
      <pivotArea field="0" dataOnly="0" labelOnly="1" grandRow="1" outline="0" axis="axisRow" fieldPosition="0">
        <references count="1">
          <reference field="4294967294" count="1" selected="0">
            <x v="17"/>
          </reference>
        </references>
      </pivotArea>
    </format>
    <format dxfId="293">
      <pivotArea field="0" dataOnly="0" labelOnly="1" grandRow="1" outline="0" axis="axisRow" fieldPosition="0">
        <references count="1">
          <reference field="4294967294" count="1" selected="0">
            <x v="18"/>
          </reference>
        </references>
      </pivotArea>
    </format>
    <format dxfId="292">
      <pivotArea field="0" dataOnly="0" labelOnly="1" grandRow="1" outline="0" axis="axisRow" fieldPosition="0">
        <references count="1">
          <reference field="4294967294" count="1" selected="0">
            <x v="19"/>
          </reference>
        </references>
      </pivotArea>
    </format>
    <format dxfId="291">
      <pivotArea field="0" dataOnly="0" labelOnly="1" grandRow="1" outline="0" axis="axisRow" fieldPosition="0">
        <references count="1">
          <reference field="4294967294" count="1" selected="0">
            <x v="20"/>
          </reference>
        </references>
      </pivotArea>
    </format>
    <format dxfId="290">
      <pivotArea field="0" dataOnly="0" labelOnly="1" grandRow="1" outline="0" axis="axisRow" fieldPosition="0">
        <references count="1">
          <reference field="4294967294" count="1" selected="0">
            <x v="21"/>
          </reference>
        </references>
      </pivotArea>
    </format>
    <format dxfId="289">
      <pivotArea field="0" dataOnly="0" labelOnly="1" grandRow="1" outline="0" axis="axisRow" fieldPosition="0">
        <references count="1">
          <reference field="4294967294" count="1" selected="0">
            <x v="22"/>
          </reference>
        </references>
      </pivotArea>
    </format>
    <format dxfId="288">
      <pivotArea field="0" dataOnly="0" labelOnly="1" grandRow="1" outline="0" axis="axisRow" fieldPosition="0">
        <references count="1">
          <reference field="4294967294" count="1" selected="0">
            <x v="23"/>
          </reference>
        </references>
      </pivotArea>
    </format>
    <format dxfId="287">
      <pivotArea field="0" dataOnly="0" labelOnly="1" grandRow="1" outline="0" axis="axisRow" fieldPosition="0">
        <references count="1">
          <reference field="4294967294" count="1" selected="0">
            <x v="24"/>
          </reference>
        </references>
      </pivotArea>
    </format>
    <format dxfId="286">
      <pivotArea field="0" dataOnly="0" labelOnly="1" grandRow="1" outline="0" axis="axisRow" fieldPosition="0">
        <references count="1">
          <reference field="4294967294" count="1" selected="0">
            <x v="25"/>
          </reference>
        </references>
      </pivotArea>
    </format>
    <format dxfId="285">
      <pivotArea field="0" dataOnly="0" labelOnly="1" grandRow="1" outline="0" axis="axisRow" fieldPosition="0">
        <references count="1">
          <reference field="4294967294" count="1" selected="0">
            <x v="26"/>
          </reference>
        </references>
      </pivotArea>
    </format>
    <format dxfId="284">
      <pivotArea field="0" dataOnly="0" labelOnly="1" grandRow="1" outline="0" axis="axisRow" fieldPosition="0">
        <references count="1">
          <reference field="4294967294" count="1" selected="0">
            <x v="27"/>
          </reference>
        </references>
      </pivotArea>
    </format>
    <format dxfId="283">
      <pivotArea field="0" dataOnly="0" labelOnly="1" grandRow="1" outline="0" axis="axisRow" fieldPosition="0">
        <references count="1">
          <reference field="4294967294" count="1" selected="0">
            <x v="28"/>
          </reference>
        </references>
      </pivotArea>
    </format>
    <format dxfId="282">
      <pivotArea field="0" dataOnly="0" labelOnly="1" grandRow="1" outline="0" axis="axisRow" fieldPosition="0">
        <references count="1">
          <reference field="4294967294" count="1" selected="0">
            <x v="29"/>
          </reference>
        </references>
      </pivotArea>
    </format>
    <format dxfId="281">
      <pivotArea field="0" dataOnly="0" labelOnly="1" grandRow="1" outline="0" axis="axisRow" fieldPosition="0">
        <references count="1">
          <reference field="4294967294" count="1" selected="0">
            <x v="30"/>
          </reference>
        </references>
      </pivotArea>
    </format>
    <format dxfId="280">
      <pivotArea field="0" dataOnly="0" labelOnly="1" grandRow="1" outline="0" axis="axisRow" fieldPosition="0">
        <references count="1">
          <reference field="4294967294" count="1" selected="0">
            <x v="31"/>
          </reference>
        </references>
      </pivotArea>
    </format>
    <format dxfId="279">
      <pivotArea field="0" dataOnly="0" labelOnly="1" grandRow="1" outline="0" axis="axisRow" fieldPosition="0">
        <references count="1">
          <reference field="4294967294" count="1" selected="0">
            <x v="32"/>
          </reference>
        </references>
      </pivotArea>
    </format>
    <format dxfId="278">
      <pivotArea field="0" dataOnly="0" labelOnly="1" grandRow="1" outline="0" axis="axisRow" fieldPosition="0">
        <references count="1">
          <reference field="4294967294" count="1" selected="0">
            <x v="33"/>
          </reference>
        </references>
      </pivotArea>
    </format>
    <format dxfId="277">
      <pivotArea field="0" dataOnly="0" labelOnly="1" grandRow="1" outline="0" axis="axisRow" fieldPosition="0">
        <references count="1">
          <reference field="4294967294" count="1" selected="0">
            <x v="34"/>
          </reference>
        </references>
      </pivotArea>
    </format>
    <format dxfId="276">
      <pivotArea field="0" dataOnly="0" labelOnly="1" grandRow="1" outline="0" axis="axisRow" fieldPosition="0">
        <references count="1">
          <reference field="4294967294" count="1" selected="0">
            <x v="35"/>
          </reference>
        </references>
      </pivotArea>
    </format>
    <format dxfId="275">
      <pivotArea field="0" dataOnly="0" labelOnly="1" grandRow="1" outline="0" axis="axisRow" fieldPosition="0">
        <references count="1">
          <reference field="4294967294" count="1" selected="0">
            <x v="0"/>
          </reference>
        </references>
      </pivotArea>
    </format>
    <format dxfId="274">
      <pivotArea field="0" dataOnly="0" labelOnly="1" grandRow="1" outline="0" axis="axisRow" fieldPosition="0">
        <references count="1">
          <reference field="4294967294" count="1" selected="0">
            <x v="1"/>
          </reference>
        </references>
      </pivotArea>
    </format>
    <format dxfId="273">
      <pivotArea field="0" dataOnly="0" labelOnly="1" grandRow="1" outline="0" axis="axisRow" fieldPosition="0">
        <references count="1">
          <reference field="4294967294" count="1" selected="0">
            <x v="2"/>
          </reference>
        </references>
      </pivotArea>
    </format>
    <format dxfId="272">
      <pivotArea field="0" dataOnly="0" labelOnly="1" grandRow="1" outline="0" axis="axisRow" fieldPosition="0">
        <references count="1">
          <reference field="4294967294" count="1" selected="0">
            <x v="3"/>
          </reference>
        </references>
      </pivotArea>
    </format>
    <format dxfId="271">
      <pivotArea field="0" dataOnly="0" labelOnly="1" grandRow="1" outline="0" axis="axisRow" fieldPosition="0">
        <references count="1">
          <reference field="4294967294" count="1" selected="0">
            <x v="4"/>
          </reference>
        </references>
      </pivotArea>
    </format>
    <format dxfId="270">
      <pivotArea field="0" dataOnly="0" labelOnly="1" grandRow="1" outline="0" axis="axisRow" fieldPosition="0">
        <references count="1">
          <reference field="4294967294" count="1" selected="0">
            <x v="5"/>
          </reference>
        </references>
      </pivotArea>
    </format>
    <format dxfId="269">
      <pivotArea field="0" dataOnly="0" labelOnly="1" grandRow="1" outline="0" axis="axisRow" fieldPosition="0">
        <references count="1">
          <reference field="4294967294" count="1" selected="0">
            <x v="6"/>
          </reference>
        </references>
      </pivotArea>
    </format>
    <format dxfId="268">
      <pivotArea field="0" dataOnly="0" labelOnly="1" grandRow="1" outline="0" axis="axisRow" fieldPosition="0">
        <references count="1">
          <reference field="4294967294" count="1" selected="0">
            <x v="7"/>
          </reference>
        </references>
      </pivotArea>
    </format>
    <format dxfId="267">
      <pivotArea field="0" dataOnly="0" labelOnly="1" grandRow="1" outline="0" axis="axisRow" fieldPosition="0">
        <references count="1">
          <reference field="4294967294" count="1" selected="0">
            <x v="8"/>
          </reference>
        </references>
      </pivotArea>
    </format>
    <format dxfId="266">
      <pivotArea field="0" dataOnly="0" labelOnly="1" grandRow="1" outline="0" axis="axisRow" fieldPosition="0">
        <references count="1">
          <reference field="4294967294" count="1" selected="0">
            <x v="9"/>
          </reference>
        </references>
      </pivotArea>
    </format>
    <format dxfId="265">
      <pivotArea field="0" dataOnly="0" labelOnly="1" grandRow="1" outline="0" axis="axisRow" fieldPosition="0">
        <references count="1">
          <reference field="4294967294" count="1" selected="0">
            <x v="10"/>
          </reference>
        </references>
      </pivotArea>
    </format>
    <format dxfId="264">
      <pivotArea field="0" dataOnly="0" labelOnly="1" grandRow="1" outline="0" axis="axisRow" fieldPosition="0">
        <references count="1">
          <reference field="4294967294" count="1" selected="0">
            <x v="11"/>
          </reference>
        </references>
      </pivotArea>
    </format>
    <format dxfId="263">
      <pivotArea field="0" dataOnly="0" labelOnly="1" grandRow="1" outline="0" axis="axisRow" fieldPosition="0">
        <references count="1">
          <reference field="4294967294" count="1" selected="0">
            <x v="12"/>
          </reference>
        </references>
      </pivotArea>
    </format>
    <format dxfId="262">
      <pivotArea field="0" dataOnly="0" labelOnly="1" grandRow="1" outline="0" axis="axisRow" fieldPosition="0">
        <references count="1">
          <reference field="4294967294" count="1" selected="0">
            <x v="13"/>
          </reference>
        </references>
      </pivotArea>
    </format>
    <format dxfId="261">
      <pivotArea field="0" dataOnly="0" labelOnly="1" grandRow="1" outline="0" axis="axisRow" fieldPosition="0">
        <references count="1">
          <reference field="4294967294" count="1" selected="0">
            <x v="14"/>
          </reference>
        </references>
      </pivotArea>
    </format>
    <format dxfId="260">
      <pivotArea field="0" dataOnly="0" labelOnly="1" grandRow="1" outline="0" axis="axisRow" fieldPosition="0">
        <references count="1">
          <reference field="4294967294" count="1" selected="0">
            <x v="15"/>
          </reference>
        </references>
      </pivotArea>
    </format>
    <format dxfId="259">
      <pivotArea field="0" dataOnly="0" labelOnly="1" grandRow="1" outline="0" axis="axisRow" fieldPosition="0">
        <references count="1">
          <reference field="4294967294" count="1" selected="0">
            <x v="16"/>
          </reference>
        </references>
      </pivotArea>
    </format>
    <format dxfId="258">
      <pivotArea field="0" dataOnly="0" labelOnly="1" grandRow="1" outline="0" axis="axisRow" fieldPosition="0">
        <references count="1">
          <reference field="4294967294" count="1" selected="0">
            <x v="17"/>
          </reference>
        </references>
      </pivotArea>
    </format>
    <format dxfId="257">
      <pivotArea field="0" dataOnly="0" labelOnly="1" grandRow="1" outline="0" axis="axisRow" fieldPosition="0">
        <references count="1">
          <reference field="4294967294" count="1" selected="0">
            <x v="18"/>
          </reference>
        </references>
      </pivotArea>
    </format>
    <format dxfId="256">
      <pivotArea field="0" dataOnly="0" labelOnly="1" grandRow="1" outline="0" axis="axisRow" fieldPosition="0">
        <references count="1">
          <reference field="4294967294" count="1" selected="0">
            <x v="19"/>
          </reference>
        </references>
      </pivotArea>
    </format>
    <format dxfId="255">
      <pivotArea field="0" dataOnly="0" labelOnly="1" grandRow="1" outline="0" axis="axisRow" fieldPosition="0">
        <references count="1">
          <reference field="4294967294" count="1" selected="0">
            <x v="20"/>
          </reference>
        </references>
      </pivotArea>
    </format>
    <format dxfId="254">
      <pivotArea field="0" dataOnly="0" labelOnly="1" grandRow="1" outline="0" axis="axisRow" fieldPosition="0">
        <references count="1">
          <reference field="4294967294" count="1" selected="0">
            <x v="21"/>
          </reference>
        </references>
      </pivotArea>
    </format>
    <format dxfId="253">
      <pivotArea field="0" dataOnly="0" labelOnly="1" grandRow="1" outline="0" axis="axisRow" fieldPosition="0">
        <references count="1">
          <reference field="4294967294" count="1" selected="0">
            <x v="22"/>
          </reference>
        </references>
      </pivotArea>
    </format>
    <format dxfId="252">
      <pivotArea field="0" dataOnly="0" labelOnly="1" grandRow="1" outline="0" axis="axisRow" fieldPosition="0">
        <references count="1">
          <reference field="4294967294" count="1" selected="0">
            <x v="23"/>
          </reference>
        </references>
      </pivotArea>
    </format>
    <format dxfId="251">
      <pivotArea field="0" dataOnly="0" labelOnly="1" grandRow="1" outline="0" axis="axisRow" fieldPosition="0">
        <references count="1">
          <reference field="4294967294" count="1" selected="0">
            <x v="24"/>
          </reference>
        </references>
      </pivotArea>
    </format>
    <format dxfId="250">
      <pivotArea field="0" dataOnly="0" labelOnly="1" grandRow="1" outline="0" axis="axisRow" fieldPosition="0">
        <references count="1">
          <reference field="4294967294" count="1" selected="0">
            <x v="25"/>
          </reference>
        </references>
      </pivotArea>
    </format>
    <format dxfId="249">
      <pivotArea field="0" dataOnly="0" labelOnly="1" grandRow="1" outline="0" axis="axisRow" fieldPosition="0">
        <references count="1">
          <reference field="4294967294" count="1" selected="0">
            <x v="26"/>
          </reference>
        </references>
      </pivotArea>
    </format>
    <format dxfId="248">
      <pivotArea field="0" dataOnly="0" labelOnly="1" grandRow="1" outline="0" axis="axisRow" fieldPosition="0">
        <references count="1">
          <reference field="4294967294" count="1" selected="0">
            <x v="27"/>
          </reference>
        </references>
      </pivotArea>
    </format>
    <format dxfId="247">
      <pivotArea field="0" dataOnly="0" labelOnly="1" grandRow="1" outline="0" axis="axisRow" fieldPosition="0">
        <references count="1">
          <reference field="4294967294" count="1" selected="0">
            <x v="28"/>
          </reference>
        </references>
      </pivotArea>
    </format>
    <format dxfId="246">
      <pivotArea field="0" dataOnly="0" labelOnly="1" grandRow="1" outline="0" axis="axisRow" fieldPosition="0">
        <references count="1">
          <reference field="4294967294" count="1" selected="0">
            <x v="29"/>
          </reference>
        </references>
      </pivotArea>
    </format>
    <format dxfId="245">
      <pivotArea field="0" dataOnly="0" labelOnly="1" grandRow="1" outline="0" axis="axisRow" fieldPosition="0">
        <references count="1">
          <reference field="4294967294" count="1" selected="0">
            <x v="30"/>
          </reference>
        </references>
      </pivotArea>
    </format>
    <format dxfId="244">
      <pivotArea field="0" dataOnly="0" labelOnly="1" grandRow="1" outline="0" axis="axisRow" fieldPosition="0">
        <references count="1">
          <reference field="4294967294" count="1" selected="0">
            <x v="31"/>
          </reference>
        </references>
      </pivotArea>
    </format>
    <format dxfId="243">
      <pivotArea field="0" dataOnly="0" labelOnly="1" grandRow="1" outline="0" axis="axisRow" fieldPosition="0">
        <references count="1">
          <reference field="4294967294" count="1" selected="0">
            <x v="32"/>
          </reference>
        </references>
      </pivotArea>
    </format>
    <format dxfId="242">
      <pivotArea field="0" dataOnly="0" labelOnly="1" grandRow="1" outline="0" axis="axisRow" fieldPosition="0">
        <references count="1">
          <reference field="4294967294" count="1" selected="0">
            <x v="33"/>
          </reference>
        </references>
      </pivotArea>
    </format>
    <format dxfId="241">
      <pivotArea field="0" dataOnly="0" labelOnly="1" grandRow="1" outline="0" axis="axisRow" fieldPosition="0">
        <references count="1">
          <reference field="4294967294" count="1" selected="0">
            <x v="34"/>
          </reference>
        </references>
      </pivotArea>
    </format>
    <format dxfId="240">
      <pivotArea field="0" dataOnly="0" labelOnly="1" grandRow="1" outline="0" axis="axisRow" fieldPosition="0">
        <references count="1">
          <reference field="4294967294" count="1" selected="0">
            <x v="35"/>
          </reference>
        </references>
      </pivotArea>
    </format>
    <format dxfId="239">
      <pivotArea field="0" dataOnly="0" labelOnly="1" grandRow="1" outline="0" axis="axisRow" fieldPosition="0">
        <references count="1">
          <reference field="4294967294" count="1" selected="0">
            <x v="0"/>
          </reference>
        </references>
      </pivotArea>
    </format>
    <format dxfId="238">
      <pivotArea field="0" dataOnly="0" labelOnly="1" grandRow="1" outline="0" axis="axisRow" fieldPosition="0">
        <references count="1">
          <reference field="4294967294" count="1" selected="0">
            <x v="1"/>
          </reference>
        </references>
      </pivotArea>
    </format>
    <format dxfId="237">
      <pivotArea field="0" dataOnly="0" labelOnly="1" grandRow="1" outline="0" axis="axisRow" fieldPosition="0">
        <references count="1">
          <reference field="4294967294" count="1" selected="0">
            <x v="2"/>
          </reference>
        </references>
      </pivotArea>
    </format>
    <format dxfId="236">
      <pivotArea field="0" dataOnly="0" labelOnly="1" grandRow="1" outline="0" axis="axisRow" fieldPosition="0">
        <references count="1">
          <reference field="4294967294" count="1" selected="0">
            <x v="3"/>
          </reference>
        </references>
      </pivotArea>
    </format>
    <format dxfId="235">
      <pivotArea field="0" dataOnly="0" labelOnly="1" grandRow="1" outline="0" axis="axisRow" fieldPosition="0">
        <references count="1">
          <reference field="4294967294" count="1" selected="0">
            <x v="4"/>
          </reference>
        </references>
      </pivotArea>
    </format>
    <format dxfId="234">
      <pivotArea field="0" dataOnly="0" labelOnly="1" grandRow="1" outline="0" axis="axisRow" fieldPosition="0">
        <references count="1">
          <reference field="4294967294" count="1" selected="0">
            <x v="5"/>
          </reference>
        </references>
      </pivotArea>
    </format>
    <format dxfId="233">
      <pivotArea field="0" dataOnly="0" labelOnly="1" grandRow="1" outline="0" axis="axisRow" fieldPosition="0">
        <references count="1">
          <reference field="4294967294" count="1" selected="0">
            <x v="6"/>
          </reference>
        </references>
      </pivotArea>
    </format>
    <format dxfId="232">
      <pivotArea field="0" dataOnly="0" labelOnly="1" grandRow="1" outline="0" axis="axisRow" fieldPosition="0">
        <references count="1">
          <reference field="4294967294" count="1" selected="0">
            <x v="7"/>
          </reference>
        </references>
      </pivotArea>
    </format>
    <format dxfId="231">
      <pivotArea field="0" dataOnly="0" labelOnly="1" grandRow="1" outline="0" axis="axisRow" fieldPosition="0">
        <references count="1">
          <reference field="4294967294" count="1" selected="0">
            <x v="8"/>
          </reference>
        </references>
      </pivotArea>
    </format>
    <format dxfId="230">
      <pivotArea field="0" dataOnly="0" labelOnly="1" grandRow="1" outline="0" axis="axisRow" fieldPosition="0">
        <references count="1">
          <reference field="4294967294" count="1" selected="0">
            <x v="9"/>
          </reference>
        </references>
      </pivotArea>
    </format>
    <format dxfId="229">
      <pivotArea field="0" dataOnly="0" labelOnly="1" grandRow="1" outline="0" axis="axisRow" fieldPosition="0">
        <references count="1">
          <reference field="4294967294" count="1" selected="0">
            <x v="10"/>
          </reference>
        </references>
      </pivotArea>
    </format>
    <format dxfId="228">
      <pivotArea field="0" dataOnly="0" labelOnly="1" grandRow="1" outline="0" axis="axisRow" fieldPosition="0">
        <references count="1">
          <reference field="4294967294" count="1" selected="0">
            <x v="11"/>
          </reference>
        </references>
      </pivotArea>
    </format>
    <format dxfId="227">
      <pivotArea field="0" dataOnly="0" labelOnly="1" grandRow="1" outline="0" axis="axisRow" fieldPosition="0">
        <references count="1">
          <reference field="4294967294" count="1" selected="0">
            <x v="12"/>
          </reference>
        </references>
      </pivotArea>
    </format>
    <format dxfId="226">
      <pivotArea field="0" dataOnly="0" labelOnly="1" grandRow="1" outline="0" axis="axisRow" fieldPosition="0">
        <references count="1">
          <reference field="4294967294" count="1" selected="0">
            <x v="13"/>
          </reference>
        </references>
      </pivotArea>
    </format>
    <format dxfId="225">
      <pivotArea field="0" dataOnly="0" labelOnly="1" grandRow="1" outline="0" axis="axisRow" fieldPosition="0">
        <references count="1">
          <reference field="4294967294" count="1" selected="0">
            <x v="14"/>
          </reference>
        </references>
      </pivotArea>
    </format>
    <format dxfId="224">
      <pivotArea field="0" dataOnly="0" labelOnly="1" grandRow="1" outline="0" axis="axisRow" fieldPosition="0">
        <references count="1">
          <reference field="4294967294" count="1" selected="0">
            <x v="15"/>
          </reference>
        </references>
      </pivotArea>
    </format>
    <format dxfId="223">
      <pivotArea field="0" dataOnly="0" labelOnly="1" grandRow="1" outline="0" axis="axisRow" fieldPosition="0">
        <references count="1">
          <reference field="4294967294" count="1" selected="0">
            <x v="16"/>
          </reference>
        </references>
      </pivotArea>
    </format>
    <format dxfId="222">
      <pivotArea field="0" dataOnly="0" labelOnly="1" grandRow="1" outline="0" axis="axisRow" fieldPosition="0">
        <references count="1">
          <reference field="4294967294" count="1" selected="0">
            <x v="17"/>
          </reference>
        </references>
      </pivotArea>
    </format>
    <format dxfId="221">
      <pivotArea field="0" dataOnly="0" labelOnly="1" grandRow="1" outline="0" axis="axisRow" fieldPosition="0">
        <references count="1">
          <reference field="4294967294" count="1" selected="0">
            <x v="18"/>
          </reference>
        </references>
      </pivotArea>
    </format>
    <format dxfId="220">
      <pivotArea field="0" dataOnly="0" labelOnly="1" grandRow="1" outline="0" axis="axisRow" fieldPosition="0">
        <references count="1">
          <reference field="4294967294" count="1" selected="0">
            <x v="19"/>
          </reference>
        </references>
      </pivotArea>
    </format>
    <format dxfId="219">
      <pivotArea field="0" dataOnly="0" labelOnly="1" grandRow="1" outline="0" axis="axisRow" fieldPosition="0">
        <references count="1">
          <reference field="4294967294" count="1" selected="0">
            <x v="20"/>
          </reference>
        </references>
      </pivotArea>
    </format>
    <format dxfId="218">
      <pivotArea field="0" dataOnly="0" labelOnly="1" grandRow="1" outline="0" axis="axisRow" fieldPosition="0">
        <references count="1">
          <reference field="4294967294" count="1" selected="0">
            <x v="21"/>
          </reference>
        </references>
      </pivotArea>
    </format>
    <format dxfId="217">
      <pivotArea field="0" dataOnly="0" labelOnly="1" grandRow="1" outline="0" axis="axisRow" fieldPosition="0">
        <references count="1">
          <reference field="4294967294" count="1" selected="0">
            <x v="22"/>
          </reference>
        </references>
      </pivotArea>
    </format>
    <format dxfId="216">
      <pivotArea field="0" dataOnly="0" labelOnly="1" grandRow="1" outline="0" axis="axisRow" fieldPosition="0">
        <references count="1">
          <reference field="4294967294" count="1" selected="0">
            <x v="23"/>
          </reference>
        </references>
      </pivotArea>
    </format>
    <format dxfId="215">
      <pivotArea field="0" dataOnly="0" labelOnly="1" grandRow="1" outline="0" axis="axisRow" fieldPosition="0">
        <references count="1">
          <reference field="4294967294" count="1" selected="0">
            <x v="24"/>
          </reference>
        </references>
      </pivotArea>
    </format>
    <format dxfId="214">
      <pivotArea field="0" dataOnly="0" labelOnly="1" grandRow="1" outline="0" axis="axisRow" fieldPosition="0">
        <references count="1">
          <reference field="4294967294" count="1" selected="0">
            <x v="25"/>
          </reference>
        </references>
      </pivotArea>
    </format>
    <format dxfId="213">
      <pivotArea field="0" dataOnly="0" labelOnly="1" grandRow="1" outline="0" axis="axisRow" fieldPosition="0">
        <references count="1">
          <reference field="4294967294" count="1" selected="0">
            <x v="26"/>
          </reference>
        </references>
      </pivotArea>
    </format>
    <format dxfId="212">
      <pivotArea field="0" dataOnly="0" labelOnly="1" grandRow="1" outline="0" axis="axisRow" fieldPosition="0">
        <references count="1">
          <reference field="4294967294" count="1" selected="0">
            <x v="27"/>
          </reference>
        </references>
      </pivotArea>
    </format>
    <format dxfId="211">
      <pivotArea field="0" dataOnly="0" labelOnly="1" grandRow="1" outline="0" axis="axisRow" fieldPosition="0">
        <references count="1">
          <reference field="4294967294" count="1" selected="0">
            <x v="28"/>
          </reference>
        </references>
      </pivotArea>
    </format>
    <format dxfId="210">
      <pivotArea field="0" dataOnly="0" labelOnly="1" grandRow="1" outline="0" axis="axisRow" fieldPosition="0">
        <references count="1">
          <reference field="4294967294" count="1" selected="0">
            <x v="29"/>
          </reference>
        </references>
      </pivotArea>
    </format>
    <format dxfId="209">
      <pivotArea field="0" dataOnly="0" labelOnly="1" grandRow="1" outline="0" axis="axisRow" fieldPosition="0">
        <references count="1">
          <reference field="4294967294" count="1" selected="0">
            <x v="30"/>
          </reference>
        </references>
      </pivotArea>
    </format>
    <format dxfId="208">
      <pivotArea field="0" dataOnly="0" labelOnly="1" grandRow="1" outline="0" axis="axisRow" fieldPosition="0">
        <references count="1">
          <reference field="4294967294" count="1" selected="0">
            <x v="31"/>
          </reference>
        </references>
      </pivotArea>
    </format>
    <format dxfId="207">
      <pivotArea field="0" dataOnly="0" labelOnly="1" grandRow="1" outline="0" axis="axisRow" fieldPosition="0">
        <references count="1">
          <reference field="4294967294" count="1" selected="0">
            <x v="32"/>
          </reference>
        </references>
      </pivotArea>
    </format>
    <format dxfId="206">
      <pivotArea field="0" dataOnly="0" labelOnly="1" grandRow="1" outline="0" axis="axisRow" fieldPosition="0">
        <references count="1">
          <reference field="4294967294" count="1" selected="0">
            <x v="33"/>
          </reference>
        </references>
      </pivotArea>
    </format>
    <format dxfId="205">
      <pivotArea field="0" dataOnly="0" labelOnly="1" grandRow="1" outline="0" axis="axisRow" fieldPosition="0">
        <references count="1">
          <reference field="4294967294" count="1" selected="0">
            <x v="34"/>
          </reference>
        </references>
      </pivotArea>
    </format>
    <format dxfId="204">
      <pivotArea field="0" dataOnly="0" labelOnly="1" grandRow="1" outline="0" axis="axisRow" fieldPosition="0">
        <references count="1">
          <reference field="4294967294" count="1" selected="0">
            <x v="35"/>
          </reference>
        </references>
      </pivotArea>
    </format>
    <format dxfId="203">
      <pivotArea field="0" dataOnly="0" labelOnly="1" grandRow="1" outline="0" axis="axisRow" fieldPosition="0">
        <references count="1">
          <reference field="4294967294" count="1" selected="0">
            <x v="0"/>
          </reference>
        </references>
      </pivotArea>
    </format>
    <format dxfId="202">
      <pivotArea field="0" dataOnly="0" labelOnly="1" grandRow="1" outline="0" axis="axisRow" fieldPosition="0">
        <references count="1">
          <reference field="4294967294" count="1" selected="0">
            <x v="1"/>
          </reference>
        </references>
      </pivotArea>
    </format>
    <format dxfId="201">
      <pivotArea field="0" dataOnly="0" labelOnly="1" grandRow="1" outline="0" axis="axisRow" fieldPosition="0">
        <references count="1">
          <reference field="4294967294" count="1" selected="0">
            <x v="2"/>
          </reference>
        </references>
      </pivotArea>
    </format>
    <format dxfId="200">
      <pivotArea field="0" dataOnly="0" labelOnly="1" grandRow="1" outline="0" axis="axisRow" fieldPosition="0">
        <references count="1">
          <reference field="4294967294" count="1" selected="0">
            <x v="3"/>
          </reference>
        </references>
      </pivotArea>
    </format>
    <format dxfId="199">
      <pivotArea field="0" dataOnly="0" labelOnly="1" grandRow="1" outline="0" axis="axisRow" fieldPosition="0">
        <references count="1">
          <reference field="4294967294" count="1" selected="0">
            <x v="4"/>
          </reference>
        </references>
      </pivotArea>
    </format>
    <format dxfId="198">
      <pivotArea field="0" dataOnly="0" labelOnly="1" grandRow="1" outline="0" axis="axisRow" fieldPosition="0">
        <references count="1">
          <reference field="4294967294" count="1" selected="0">
            <x v="5"/>
          </reference>
        </references>
      </pivotArea>
    </format>
    <format dxfId="197">
      <pivotArea field="0" dataOnly="0" labelOnly="1" grandRow="1" outline="0" axis="axisRow" fieldPosition="0">
        <references count="1">
          <reference field="4294967294" count="1" selected="0">
            <x v="6"/>
          </reference>
        </references>
      </pivotArea>
    </format>
    <format dxfId="196">
      <pivotArea field="0" dataOnly="0" labelOnly="1" grandRow="1" outline="0" axis="axisRow" fieldPosition="0">
        <references count="1">
          <reference field="4294967294" count="1" selected="0">
            <x v="7"/>
          </reference>
        </references>
      </pivotArea>
    </format>
    <format dxfId="195">
      <pivotArea field="0" dataOnly="0" labelOnly="1" grandRow="1" outline="0" axis="axisRow" fieldPosition="0">
        <references count="1">
          <reference field="4294967294" count="1" selected="0">
            <x v="8"/>
          </reference>
        </references>
      </pivotArea>
    </format>
    <format dxfId="194">
      <pivotArea field="0" dataOnly="0" labelOnly="1" grandRow="1" outline="0" axis="axisRow" fieldPosition="0">
        <references count="1">
          <reference field="4294967294" count="1" selected="0">
            <x v="9"/>
          </reference>
        </references>
      </pivotArea>
    </format>
    <format dxfId="193">
      <pivotArea field="0" dataOnly="0" labelOnly="1" grandRow="1" outline="0" axis="axisRow" fieldPosition="0">
        <references count="1">
          <reference field="4294967294" count="1" selected="0">
            <x v="10"/>
          </reference>
        </references>
      </pivotArea>
    </format>
    <format dxfId="192">
      <pivotArea field="0" dataOnly="0" labelOnly="1" grandRow="1" outline="0" axis="axisRow" fieldPosition="0">
        <references count="1">
          <reference field="4294967294" count="1" selected="0">
            <x v="11"/>
          </reference>
        </references>
      </pivotArea>
    </format>
    <format dxfId="191">
      <pivotArea field="0" dataOnly="0" labelOnly="1" grandRow="1" outline="0" axis="axisRow" fieldPosition="0">
        <references count="1">
          <reference field="4294967294" count="1" selected="0">
            <x v="12"/>
          </reference>
        </references>
      </pivotArea>
    </format>
    <format dxfId="190">
      <pivotArea field="0" dataOnly="0" labelOnly="1" grandRow="1" outline="0" axis="axisRow" fieldPosition="0">
        <references count="1">
          <reference field="4294967294" count="1" selected="0">
            <x v="13"/>
          </reference>
        </references>
      </pivotArea>
    </format>
    <format dxfId="189">
      <pivotArea field="0" dataOnly="0" labelOnly="1" grandRow="1" outline="0" axis="axisRow" fieldPosition="0">
        <references count="1">
          <reference field="4294967294" count="1" selected="0">
            <x v="14"/>
          </reference>
        </references>
      </pivotArea>
    </format>
    <format dxfId="188">
      <pivotArea field="0" dataOnly="0" labelOnly="1" grandRow="1" outline="0" axis="axisRow" fieldPosition="0">
        <references count="1">
          <reference field="4294967294" count="1" selected="0">
            <x v="15"/>
          </reference>
        </references>
      </pivotArea>
    </format>
    <format dxfId="187">
      <pivotArea field="0" dataOnly="0" labelOnly="1" grandRow="1" outline="0" axis="axisRow" fieldPosition="0">
        <references count="1">
          <reference field="4294967294" count="1" selected="0">
            <x v="16"/>
          </reference>
        </references>
      </pivotArea>
    </format>
    <format dxfId="186">
      <pivotArea field="0" dataOnly="0" labelOnly="1" grandRow="1" outline="0" axis="axisRow" fieldPosition="0">
        <references count="1">
          <reference field="4294967294" count="1" selected="0">
            <x v="17"/>
          </reference>
        </references>
      </pivotArea>
    </format>
    <format dxfId="185">
      <pivotArea field="0" dataOnly="0" labelOnly="1" grandRow="1" outline="0" axis="axisRow" fieldPosition="0">
        <references count="1">
          <reference field="4294967294" count="1" selected="0">
            <x v="18"/>
          </reference>
        </references>
      </pivotArea>
    </format>
    <format dxfId="184">
      <pivotArea field="0" dataOnly="0" labelOnly="1" grandRow="1" outline="0" axis="axisRow" fieldPosition="0">
        <references count="1">
          <reference field="4294967294" count="1" selected="0">
            <x v="19"/>
          </reference>
        </references>
      </pivotArea>
    </format>
    <format dxfId="183">
      <pivotArea field="0" dataOnly="0" labelOnly="1" grandRow="1" outline="0" axis="axisRow" fieldPosition="0">
        <references count="1">
          <reference field="4294967294" count="1" selected="0">
            <x v="20"/>
          </reference>
        </references>
      </pivotArea>
    </format>
    <format dxfId="182">
      <pivotArea field="0" dataOnly="0" labelOnly="1" grandRow="1" outline="0" axis="axisRow" fieldPosition="0">
        <references count="1">
          <reference field="4294967294" count="1" selected="0">
            <x v="21"/>
          </reference>
        </references>
      </pivotArea>
    </format>
    <format dxfId="181">
      <pivotArea field="0" dataOnly="0" labelOnly="1" grandRow="1" outline="0" axis="axisRow" fieldPosition="0">
        <references count="1">
          <reference field="4294967294" count="1" selected="0">
            <x v="22"/>
          </reference>
        </references>
      </pivotArea>
    </format>
    <format dxfId="180">
      <pivotArea field="0" dataOnly="0" labelOnly="1" grandRow="1" outline="0" axis="axisRow" fieldPosition="0">
        <references count="1">
          <reference field="4294967294" count="1" selected="0">
            <x v="23"/>
          </reference>
        </references>
      </pivotArea>
    </format>
    <format dxfId="179">
      <pivotArea field="0" dataOnly="0" labelOnly="1" grandRow="1" outline="0" axis="axisRow" fieldPosition="0">
        <references count="1">
          <reference field="4294967294" count="1" selected="0">
            <x v="24"/>
          </reference>
        </references>
      </pivotArea>
    </format>
    <format dxfId="178">
      <pivotArea field="0" dataOnly="0" labelOnly="1" grandRow="1" outline="0" axis="axisRow" fieldPosition="0">
        <references count="1">
          <reference field="4294967294" count="1" selected="0">
            <x v="25"/>
          </reference>
        </references>
      </pivotArea>
    </format>
    <format dxfId="177">
      <pivotArea field="0" dataOnly="0" labelOnly="1" grandRow="1" outline="0" axis="axisRow" fieldPosition="0">
        <references count="1">
          <reference field="4294967294" count="1" selected="0">
            <x v="26"/>
          </reference>
        </references>
      </pivotArea>
    </format>
    <format dxfId="176">
      <pivotArea field="0" dataOnly="0" labelOnly="1" grandRow="1" outline="0" axis="axisRow" fieldPosition="0">
        <references count="1">
          <reference field="4294967294" count="1" selected="0">
            <x v="27"/>
          </reference>
        </references>
      </pivotArea>
    </format>
    <format dxfId="175">
      <pivotArea field="0" dataOnly="0" labelOnly="1" grandRow="1" outline="0" axis="axisRow" fieldPosition="0">
        <references count="1">
          <reference field="4294967294" count="1" selected="0">
            <x v="28"/>
          </reference>
        </references>
      </pivotArea>
    </format>
    <format dxfId="174">
      <pivotArea field="0" dataOnly="0" labelOnly="1" grandRow="1" outline="0" axis="axisRow" fieldPosition="0">
        <references count="1">
          <reference field="4294967294" count="1" selected="0">
            <x v="29"/>
          </reference>
        </references>
      </pivotArea>
    </format>
    <format dxfId="173">
      <pivotArea field="0" dataOnly="0" labelOnly="1" grandRow="1" outline="0" axis="axisRow" fieldPosition="0">
        <references count="1">
          <reference field="4294967294" count="1" selected="0">
            <x v="30"/>
          </reference>
        </references>
      </pivotArea>
    </format>
    <format dxfId="172">
      <pivotArea field="0" dataOnly="0" labelOnly="1" grandRow="1" outline="0" axis="axisRow" fieldPosition="0">
        <references count="1">
          <reference field="4294967294" count="1" selected="0">
            <x v="31"/>
          </reference>
        </references>
      </pivotArea>
    </format>
    <format dxfId="171">
      <pivotArea field="0" dataOnly="0" labelOnly="1" grandRow="1" outline="0" axis="axisRow" fieldPosition="0">
        <references count="1">
          <reference field="4294967294" count="1" selected="0">
            <x v="32"/>
          </reference>
        </references>
      </pivotArea>
    </format>
    <format dxfId="170">
      <pivotArea field="0" dataOnly="0" labelOnly="1" grandRow="1" outline="0" axis="axisRow" fieldPosition="0">
        <references count="1">
          <reference field="4294967294" count="1" selected="0">
            <x v="33"/>
          </reference>
        </references>
      </pivotArea>
    </format>
    <format dxfId="169">
      <pivotArea field="0" dataOnly="0" labelOnly="1" grandRow="1" outline="0" axis="axisRow" fieldPosition="0">
        <references count="1">
          <reference field="4294967294" count="1" selected="0">
            <x v="34"/>
          </reference>
        </references>
      </pivotArea>
    </format>
    <format dxfId="168">
      <pivotArea field="0" dataOnly="0" labelOnly="1" grandRow="1" outline="0" axis="axisRow" fieldPosition="0">
        <references count="1">
          <reference field="4294967294" count="1" selected="0">
            <x v="35"/>
          </reference>
        </references>
      </pivotArea>
    </format>
    <format dxfId="167">
      <pivotArea field="0" dataOnly="0" labelOnly="1" grandRow="1" outline="0" axis="axisRow" fieldPosition="0">
        <references count="1">
          <reference field="4294967294" count="1" selected="0">
            <x v="0"/>
          </reference>
        </references>
      </pivotArea>
    </format>
    <format dxfId="166">
      <pivotArea field="0" dataOnly="0" labelOnly="1" grandRow="1" outline="0" axis="axisRow" fieldPosition="0">
        <references count="1">
          <reference field="4294967294" count="1" selected="0">
            <x v="1"/>
          </reference>
        </references>
      </pivotArea>
    </format>
    <format dxfId="165">
      <pivotArea field="0" dataOnly="0" labelOnly="1" grandRow="1" outline="0" axis="axisRow" fieldPosition="0">
        <references count="1">
          <reference field="4294967294" count="1" selected="0">
            <x v="2"/>
          </reference>
        </references>
      </pivotArea>
    </format>
    <format dxfId="164">
      <pivotArea field="0" dataOnly="0" labelOnly="1" grandRow="1" outline="0" axis="axisRow" fieldPosition="0">
        <references count="1">
          <reference field="4294967294" count="1" selected="0">
            <x v="3"/>
          </reference>
        </references>
      </pivotArea>
    </format>
    <format dxfId="163">
      <pivotArea field="0" dataOnly="0" labelOnly="1" grandRow="1" outline="0" axis="axisRow" fieldPosition="0">
        <references count="1">
          <reference field="4294967294" count="1" selected="0">
            <x v="4"/>
          </reference>
        </references>
      </pivotArea>
    </format>
    <format dxfId="162">
      <pivotArea field="0" dataOnly="0" labelOnly="1" grandRow="1" outline="0" axis="axisRow" fieldPosition="0">
        <references count="1">
          <reference field="4294967294" count="1" selected="0">
            <x v="5"/>
          </reference>
        </references>
      </pivotArea>
    </format>
    <format dxfId="161">
      <pivotArea field="0" dataOnly="0" labelOnly="1" grandRow="1" outline="0" axis="axisRow" fieldPosition="0">
        <references count="1">
          <reference field="4294967294" count="1" selected="0">
            <x v="6"/>
          </reference>
        </references>
      </pivotArea>
    </format>
    <format dxfId="160">
      <pivotArea field="0" dataOnly="0" labelOnly="1" grandRow="1" outline="0" axis="axisRow" fieldPosition="0">
        <references count="1">
          <reference field="4294967294" count="1" selected="0">
            <x v="7"/>
          </reference>
        </references>
      </pivotArea>
    </format>
    <format dxfId="159">
      <pivotArea field="0" dataOnly="0" labelOnly="1" grandRow="1" outline="0" axis="axisRow" fieldPosition="0">
        <references count="1">
          <reference field="4294967294" count="1" selected="0">
            <x v="8"/>
          </reference>
        </references>
      </pivotArea>
    </format>
    <format dxfId="158">
      <pivotArea field="0" dataOnly="0" labelOnly="1" grandRow="1" outline="0" axis="axisRow" fieldPosition="0">
        <references count="1">
          <reference field="4294967294" count="1" selected="0">
            <x v="9"/>
          </reference>
        </references>
      </pivotArea>
    </format>
    <format dxfId="157">
      <pivotArea field="0" dataOnly="0" labelOnly="1" grandRow="1" outline="0" axis="axisRow" fieldPosition="0">
        <references count="1">
          <reference field="4294967294" count="1" selected="0">
            <x v="10"/>
          </reference>
        </references>
      </pivotArea>
    </format>
    <format dxfId="156">
      <pivotArea field="0" dataOnly="0" labelOnly="1" grandRow="1" outline="0" axis="axisRow" fieldPosition="0">
        <references count="1">
          <reference field="4294967294" count="1" selected="0">
            <x v="11"/>
          </reference>
        </references>
      </pivotArea>
    </format>
    <format dxfId="155">
      <pivotArea field="0" dataOnly="0" labelOnly="1" grandRow="1" outline="0" axis="axisRow" fieldPosition="0">
        <references count="1">
          <reference field="4294967294" count="1" selected="0">
            <x v="12"/>
          </reference>
        </references>
      </pivotArea>
    </format>
    <format dxfId="154">
      <pivotArea field="0" dataOnly="0" labelOnly="1" grandRow="1" outline="0" axis="axisRow" fieldPosition="0">
        <references count="1">
          <reference field="4294967294" count="1" selected="0">
            <x v="13"/>
          </reference>
        </references>
      </pivotArea>
    </format>
    <format dxfId="153">
      <pivotArea field="0" dataOnly="0" labelOnly="1" grandRow="1" outline="0" axis="axisRow" fieldPosition="0">
        <references count="1">
          <reference field="4294967294" count="1" selected="0">
            <x v="14"/>
          </reference>
        </references>
      </pivotArea>
    </format>
    <format dxfId="152">
      <pivotArea field="0" dataOnly="0" labelOnly="1" grandRow="1" outline="0" axis="axisRow" fieldPosition="0">
        <references count="1">
          <reference field="4294967294" count="1" selected="0">
            <x v="15"/>
          </reference>
        </references>
      </pivotArea>
    </format>
    <format dxfId="151">
      <pivotArea field="0" dataOnly="0" labelOnly="1" grandRow="1" outline="0" axis="axisRow" fieldPosition="0">
        <references count="1">
          <reference field="4294967294" count="1" selected="0">
            <x v="16"/>
          </reference>
        </references>
      </pivotArea>
    </format>
    <format dxfId="150">
      <pivotArea field="0" dataOnly="0" labelOnly="1" grandRow="1" outline="0" axis="axisRow" fieldPosition="0">
        <references count="1">
          <reference field="4294967294" count="1" selected="0">
            <x v="17"/>
          </reference>
        </references>
      </pivotArea>
    </format>
    <format dxfId="149">
      <pivotArea field="0" dataOnly="0" labelOnly="1" grandRow="1" outline="0" axis="axisRow" fieldPosition="0">
        <references count="1">
          <reference field="4294967294" count="1" selected="0">
            <x v="18"/>
          </reference>
        </references>
      </pivotArea>
    </format>
    <format dxfId="148">
      <pivotArea field="0" dataOnly="0" labelOnly="1" grandRow="1" outline="0" axis="axisRow" fieldPosition="0">
        <references count="1">
          <reference field="4294967294" count="1" selected="0">
            <x v="19"/>
          </reference>
        </references>
      </pivotArea>
    </format>
    <format dxfId="147">
      <pivotArea field="0" dataOnly="0" labelOnly="1" grandRow="1" outline="0" axis="axisRow" fieldPosition="0">
        <references count="1">
          <reference field="4294967294" count="1" selected="0">
            <x v="20"/>
          </reference>
        </references>
      </pivotArea>
    </format>
    <format dxfId="146">
      <pivotArea field="0" dataOnly="0" labelOnly="1" grandRow="1" outline="0" axis="axisRow" fieldPosition="0">
        <references count="1">
          <reference field="4294967294" count="1" selected="0">
            <x v="21"/>
          </reference>
        </references>
      </pivotArea>
    </format>
    <format dxfId="145">
      <pivotArea field="0" dataOnly="0" labelOnly="1" grandRow="1" outline="0" axis="axisRow" fieldPosition="0">
        <references count="1">
          <reference field="4294967294" count="1" selected="0">
            <x v="22"/>
          </reference>
        </references>
      </pivotArea>
    </format>
    <format dxfId="144">
      <pivotArea field="0" dataOnly="0" labelOnly="1" grandRow="1" outline="0" axis="axisRow" fieldPosition="0">
        <references count="1">
          <reference field="4294967294" count="1" selected="0">
            <x v="23"/>
          </reference>
        </references>
      </pivotArea>
    </format>
    <format dxfId="143">
      <pivotArea field="0" dataOnly="0" labelOnly="1" grandRow="1" outline="0" axis="axisRow" fieldPosition="0">
        <references count="1">
          <reference field="4294967294" count="1" selected="0">
            <x v="24"/>
          </reference>
        </references>
      </pivotArea>
    </format>
    <format dxfId="142">
      <pivotArea field="0" dataOnly="0" labelOnly="1" grandRow="1" outline="0" axis="axisRow" fieldPosition="0">
        <references count="1">
          <reference field="4294967294" count="1" selected="0">
            <x v="25"/>
          </reference>
        </references>
      </pivotArea>
    </format>
    <format dxfId="141">
      <pivotArea field="0" dataOnly="0" labelOnly="1" grandRow="1" outline="0" axis="axisRow" fieldPosition="0">
        <references count="1">
          <reference field="4294967294" count="1" selected="0">
            <x v="26"/>
          </reference>
        </references>
      </pivotArea>
    </format>
    <format dxfId="140">
      <pivotArea field="0" dataOnly="0" labelOnly="1" grandRow="1" outline="0" axis="axisRow" fieldPosition="0">
        <references count="1">
          <reference field="4294967294" count="1" selected="0">
            <x v="27"/>
          </reference>
        </references>
      </pivotArea>
    </format>
    <format dxfId="139">
      <pivotArea field="0" dataOnly="0" labelOnly="1" grandRow="1" outline="0" axis="axisRow" fieldPosition="0">
        <references count="1">
          <reference field="4294967294" count="1" selected="0">
            <x v="28"/>
          </reference>
        </references>
      </pivotArea>
    </format>
    <format dxfId="138">
      <pivotArea field="0" dataOnly="0" labelOnly="1" grandRow="1" outline="0" axis="axisRow" fieldPosition="0">
        <references count="1">
          <reference field="4294967294" count="1" selected="0">
            <x v="29"/>
          </reference>
        </references>
      </pivotArea>
    </format>
    <format dxfId="137">
      <pivotArea field="0" dataOnly="0" labelOnly="1" grandRow="1" outline="0" axis="axisRow" fieldPosition="0">
        <references count="1">
          <reference field="4294967294" count="1" selected="0">
            <x v="30"/>
          </reference>
        </references>
      </pivotArea>
    </format>
    <format dxfId="136">
      <pivotArea field="0" dataOnly="0" labelOnly="1" grandRow="1" outline="0" axis="axisRow" fieldPosition="0">
        <references count="1">
          <reference field="4294967294" count="1" selected="0">
            <x v="31"/>
          </reference>
        </references>
      </pivotArea>
    </format>
    <format dxfId="135">
      <pivotArea field="0" dataOnly="0" labelOnly="1" grandRow="1" outline="0" axis="axisRow" fieldPosition="0">
        <references count="1">
          <reference field="4294967294" count="1" selected="0">
            <x v="32"/>
          </reference>
        </references>
      </pivotArea>
    </format>
    <format dxfId="134">
      <pivotArea field="0" dataOnly="0" labelOnly="1" grandRow="1" outline="0" axis="axisRow" fieldPosition="0">
        <references count="1">
          <reference field="4294967294" count="1" selected="0">
            <x v="33"/>
          </reference>
        </references>
      </pivotArea>
    </format>
    <format dxfId="133">
      <pivotArea field="0" dataOnly="0" labelOnly="1" grandRow="1" outline="0" axis="axisRow" fieldPosition="0">
        <references count="1">
          <reference field="4294967294" count="1" selected="0">
            <x v="34"/>
          </reference>
        </references>
      </pivotArea>
    </format>
    <format dxfId="132">
      <pivotArea field="0" dataOnly="0" labelOnly="1" grandRow="1" outline="0" axis="axisRow" fieldPosition="0">
        <references count="1">
          <reference field="4294967294" count="1" selected="0">
            <x v="35"/>
          </reference>
        </references>
      </pivotArea>
    </format>
    <format dxfId="131">
      <pivotArea field="0" dataOnly="0" labelOnly="1" grandRow="1" outline="0" axis="axisRow" fieldPosition="0">
        <references count="1">
          <reference field="4294967294" count="1" selected="0">
            <x v="0"/>
          </reference>
        </references>
      </pivotArea>
    </format>
    <format dxfId="130">
      <pivotArea field="0" dataOnly="0" labelOnly="1" grandRow="1" outline="0" axis="axisRow" fieldPosition="0">
        <references count="1">
          <reference field="4294967294" count="1" selected="0">
            <x v="1"/>
          </reference>
        </references>
      </pivotArea>
    </format>
    <format dxfId="129">
      <pivotArea field="0" dataOnly="0" labelOnly="1" grandRow="1" outline="0" axis="axisRow" fieldPosition="0">
        <references count="1">
          <reference field="4294967294" count="1" selected="0">
            <x v="2"/>
          </reference>
        </references>
      </pivotArea>
    </format>
    <format dxfId="128">
      <pivotArea field="0" dataOnly="0" labelOnly="1" grandRow="1" outline="0" axis="axisRow" fieldPosition="0">
        <references count="1">
          <reference field="4294967294" count="1" selected="0">
            <x v="3"/>
          </reference>
        </references>
      </pivotArea>
    </format>
    <format dxfId="127">
      <pivotArea field="0" dataOnly="0" labelOnly="1" grandRow="1" outline="0" axis="axisRow" fieldPosition="0">
        <references count="1">
          <reference field="4294967294" count="1" selected="0">
            <x v="4"/>
          </reference>
        </references>
      </pivotArea>
    </format>
    <format dxfId="126">
      <pivotArea field="0" dataOnly="0" labelOnly="1" grandRow="1" outline="0" axis="axisRow" fieldPosition="0">
        <references count="1">
          <reference field="4294967294" count="1" selected="0">
            <x v="5"/>
          </reference>
        </references>
      </pivotArea>
    </format>
    <format dxfId="125">
      <pivotArea field="0" dataOnly="0" labelOnly="1" grandRow="1" outline="0" axis="axisRow" fieldPosition="0">
        <references count="1">
          <reference field="4294967294" count="1" selected="0">
            <x v="6"/>
          </reference>
        </references>
      </pivotArea>
    </format>
    <format dxfId="124">
      <pivotArea field="0" dataOnly="0" labelOnly="1" grandRow="1" outline="0" axis="axisRow" fieldPosition="0">
        <references count="1">
          <reference field="4294967294" count="1" selected="0">
            <x v="7"/>
          </reference>
        </references>
      </pivotArea>
    </format>
    <format dxfId="123">
      <pivotArea field="0" dataOnly="0" labelOnly="1" grandRow="1" outline="0" axis="axisRow" fieldPosition="0">
        <references count="1">
          <reference field="4294967294" count="1" selected="0">
            <x v="8"/>
          </reference>
        </references>
      </pivotArea>
    </format>
    <format dxfId="122">
      <pivotArea field="0" dataOnly="0" labelOnly="1" grandRow="1" outline="0" axis="axisRow" fieldPosition="0">
        <references count="1">
          <reference field="4294967294" count="1" selected="0">
            <x v="9"/>
          </reference>
        </references>
      </pivotArea>
    </format>
    <format dxfId="121">
      <pivotArea field="0" dataOnly="0" labelOnly="1" grandRow="1" outline="0" axis="axisRow" fieldPosition="0">
        <references count="1">
          <reference field="4294967294" count="1" selected="0">
            <x v="10"/>
          </reference>
        </references>
      </pivotArea>
    </format>
    <format dxfId="120">
      <pivotArea field="0" dataOnly="0" labelOnly="1" grandRow="1" outline="0" axis="axisRow" fieldPosition="0">
        <references count="1">
          <reference field="4294967294" count="1" selected="0">
            <x v="11"/>
          </reference>
        </references>
      </pivotArea>
    </format>
    <format dxfId="119">
      <pivotArea field="0" dataOnly="0" labelOnly="1" grandRow="1" outline="0" axis="axisRow" fieldPosition="0">
        <references count="1">
          <reference field="4294967294" count="1" selected="0">
            <x v="12"/>
          </reference>
        </references>
      </pivotArea>
    </format>
    <format dxfId="118">
      <pivotArea field="0" dataOnly="0" labelOnly="1" grandRow="1" outline="0" axis="axisRow" fieldPosition="0">
        <references count="1">
          <reference field="4294967294" count="1" selected="0">
            <x v="13"/>
          </reference>
        </references>
      </pivotArea>
    </format>
    <format dxfId="117">
      <pivotArea field="0" dataOnly="0" labelOnly="1" grandRow="1" outline="0" axis="axisRow" fieldPosition="0">
        <references count="1">
          <reference field="4294967294" count="1" selected="0">
            <x v="14"/>
          </reference>
        </references>
      </pivotArea>
    </format>
    <format dxfId="116">
      <pivotArea field="0" dataOnly="0" labelOnly="1" grandRow="1" outline="0" axis="axisRow" fieldPosition="0">
        <references count="1">
          <reference field="4294967294" count="1" selected="0">
            <x v="15"/>
          </reference>
        </references>
      </pivotArea>
    </format>
    <format dxfId="115">
      <pivotArea field="0" dataOnly="0" labelOnly="1" grandRow="1" outline="0" axis="axisRow" fieldPosition="0">
        <references count="1">
          <reference field="4294967294" count="1" selected="0">
            <x v="16"/>
          </reference>
        </references>
      </pivotArea>
    </format>
    <format dxfId="114">
      <pivotArea field="0" dataOnly="0" labelOnly="1" grandRow="1" outline="0" axis="axisRow" fieldPosition="0">
        <references count="1">
          <reference field="4294967294" count="1" selected="0">
            <x v="17"/>
          </reference>
        </references>
      </pivotArea>
    </format>
    <format dxfId="113">
      <pivotArea field="0" dataOnly="0" labelOnly="1" grandRow="1" outline="0" axis="axisRow" fieldPosition="0">
        <references count="1">
          <reference field="4294967294" count="1" selected="0">
            <x v="18"/>
          </reference>
        </references>
      </pivotArea>
    </format>
    <format dxfId="112">
      <pivotArea field="0" dataOnly="0" labelOnly="1" grandRow="1" outline="0" axis="axisRow" fieldPosition="0">
        <references count="1">
          <reference field="4294967294" count="1" selected="0">
            <x v="19"/>
          </reference>
        </references>
      </pivotArea>
    </format>
    <format dxfId="111">
      <pivotArea field="0" dataOnly="0" labelOnly="1" grandRow="1" outline="0" axis="axisRow" fieldPosition="0">
        <references count="1">
          <reference field="4294967294" count="1" selected="0">
            <x v="20"/>
          </reference>
        </references>
      </pivotArea>
    </format>
    <format dxfId="110">
      <pivotArea field="0" dataOnly="0" labelOnly="1" grandRow="1" outline="0" axis="axisRow" fieldPosition="0">
        <references count="1">
          <reference field="4294967294" count="1" selected="0">
            <x v="21"/>
          </reference>
        </references>
      </pivotArea>
    </format>
    <format dxfId="109">
      <pivotArea field="0" dataOnly="0" labelOnly="1" grandRow="1" outline="0" axis="axisRow" fieldPosition="0">
        <references count="1">
          <reference field="4294967294" count="1" selected="0">
            <x v="22"/>
          </reference>
        </references>
      </pivotArea>
    </format>
    <format dxfId="108">
      <pivotArea field="0" dataOnly="0" labelOnly="1" grandRow="1" outline="0" axis="axisRow" fieldPosition="0">
        <references count="1">
          <reference field="4294967294" count="1" selected="0">
            <x v="23"/>
          </reference>
        </references>
      </pivotArea>
    </format>
    <format dxfId="107">
      <pivotArea field="0" dataOnly="0" labelOnly="1" grandRow="1" outline="0" axis="axisRow" fieldPosition="0">
        <references count="1">
          <reference field="4294967294" count="1" selected="0">
            <x v="24"/>
          </reference>
        </references>
      </pivotArea>
    </format>
    <format dxfId="106">
      <pivotArea field="0" dataOnly="0" labelOnly="1" grandRow="1" outline="0" axis="axisRow" fieldPosition="0">
        <references count="1">
          <reference field="4294967294" count="1" selected="0">
            <x v="25"/>
          </reference>
        </references>
      </pivotArea>
    </format>
    <format dxfId="105">
      <pivotArea field="0" dataOnly="0" labelOnly="1" grandRow="1" outline="0" axis="axisRow" fieldPosition="0">
        <references count="1">
          <reference field="4294967294" count="1" selected="0">
            <x v="26"/>
          </reference>
        </references>
      </pivotArea>
    </format>
    <format dxfId="104">
      <pivotArea field="0" dataOnly="0" labelOnly="1" grandRow="1" outline="0" axis="axisRow" fieldPosition="0">
        <references count="1">
          <reference field="4294967294" count="1" selected="0">
            <x v="27"/>
          </reference>
        </references>
      </pivotArea>
    </format>
    <format dxfId="103">
      <pivotArea field="0" dataOnly="0" labelOnly="1" grandRow="1" outline="0" axis="axisRow" fieldPosition="0">
        <references count="1">
          <reference field="4294967294" count="1" selected="0">
            <x v="28"/>
          </reference>
        </references>
      </pivotArea>
    </format>
    <format dxfId="102">
      <pivotArea field="0" dataOnly="0" labelOnly="1" grandRow="1" outline="0" axis="axisRow" fieldPosition="0">
        <references count="1">
          <reference field="4294967294" count="1" selected="0">
            <x v="29"/>
          </reference>
        </references>
      </pivotArea>
    </format>
    <format dxfId="101">
      <pivotArea field="0" dataOnly="0" labelOnly="1" grandRow="1" outline="0" axis="axisRow" fieldPosition="0">
        <references count="1">
          <reference field="4294967294" count="1" selected="0">
            <x v="30"/>
          </reference>
        </references>
      </pivotArea>
    </format>
    <format dxfId="100">
      <pivotArea field="0" dataOnly="0" labelOnly="1" grandRow="1" outline="0" axis="axisRow" fieldPosition="0">
        <references count="1">
          <reference field="4294967294" count="1" selected="0">
            <x v="31"/>
          </reference>
        </references>
      </pivotArea>
    </format>
    <format dxfId="99">
      <pivotArea field="0" dataOnly="0" labelOnly="1" grandRow="1" outline="0" axis="axisRow" fieldPosition="0">
        <references count="1">
          <reference field="4294967294" count="1" selected="0">
            <x v="32"/>
          </reference>
        </references>
      </pivotArea>
    </format>
    <format dxfId="98">
      <pivotArea field="0" dataOnly="0" labelOnly="1" grandRow="1" outline="0" axis="axisRow" fieldPosition="0">
        <references count="1">
          <reference field="4294967294" count="1" selected="0">
            <x v="33"/>
          </reference>
        </references>
      </pivotArea>
    </format>
    <format dxfId="97">
      <pivotArea field="0" dataOnly="0" labelOnly="1" grandRow="1" outline="0" axis="axisRow" fieldPosition="0">
        <references count="1">
          <reference field="4294967294" count="1" selected="0">
            <x v="34"/>
          </reference>
        </references>
      </pivotArea>
    </format>
    <format dxfId="96">
      <pivotArea field="0" dataOnly="0" labelOnly="1" grandRow="1" outline="0" axis="axisRow" fieldPosition="0">
        <references count="1">
          <reference field="4294967294" count="1" selected="0">
            <x v="35"/>
          </reference>
        </references>
      </pivotArea>
    </format>
    <format dxfId="95">
      <pivotArea field="0" dataOnly="0" labelOnly="1" grandRow="1" outline="0" axis="axisRow" fieldPosition="0">
        <references count="1">
          <reference field="4294967294" count="1" selected="0">
            <x v="0"/>
          </reference>
        </references>
      </pivotArea>
    </format>
    <format dxfId="94">
      <pivotArea field="0" dataOnly="0" labelOnly="1" grandRow="1" outline="0" axis="axisRow" fieldPosition="0">
        <references count="1">
          <reference field="4294967294" count="1" selected="0">
            <x v="1"/>
          </reference>
        </references>
      </pivotArea>
    </format>
    <format dxfId="93">
      <pivotArea field="0" dataOnly="0" labelOnly="1" grandRow="1" outline="0" axis="axisRow" fieldPosition="0">
        <references count="1">
          <reference field="4294967294" count="1" selected="0">
            <x v="2"/>
          </reference>
        </references>
      </pivotArea>
    </format>
    <format dxfId="92">
      <pivotArea field="0" dataOnly="0" labelOnly="1" grandRow="1" outline="0" axis="axisRow" fieldPosition="0">
        <references count="1">
          <reference field="4294967294" count="1" selected="0">
            <x v="3"/>
          </reference>
        </references>
      </pivotArea>
    </format>
    <format dxfId="91">
      <pivotArea field="0" dataOnly="0" labelOnly="1" grandRow="1" outline="0" axis="axisRow" fieldPosition="0">
        <references count="1">
          <reference field="4294967294" count="1" selected="0">
            <x v="4"/>
          </reference>
        </references>
      </pivotArea>
    </format>
    <format dxfId="90">
      <pivotArea field="0" dataOnly="0" labelOnly="1" grandRow="1" outline="0" axis="axisRow" fieldPosition="0">
        <references count="1">
          <reference field="4294967294" count="1" selected="0">
            <x v="5"/>
          </reference>
        </references>
      </pivotArea>
    </format>
    <format dxfId="89">
      <pivotArea field="0" dataOnly="0" labelOnly="1" grandRow="1" outline="0" axis="axisRow" fieldPosition="0">
        <references count="1">
          <reference field="4294967294" count="1" selected="0">
            <x v="6"/>
          </reference>
        </references>
      </pivotArea>
    </format>
    <format dxfId="88">
      <pivotArea field="0" dataOnly="0" labelOnly="1" grandRow="1" outline="0" axis="axisRow" fieldPosition="0">
        <references count="1">
          <reference field="4294967294" count="1" selected="0">
            <x v="7"/>
          </reference>
        </references>
      </pivotArea>
    </format>
    <format dxfId="87">
      <pivotArea field="0" dataOnly="0" labelOnly="1" grandRow="1" outline="0" axis="axisRow" fieldPosition="0">
        <references count="1">
          <reference field="4294967294" count="1" selected="0">
            <x v="8"/>
          </reference>
        </references>
      </pivotArea>
    </format>
    <format dxfId="86">
      <pivotArea field="0" dataOnly="0" labelOnly="1" grandRow="1" outline="0" axis="axisRow" fieldPosition="0">
        <references count="1">
          <reference field="4294967294" count="1" selected="0">
            <x v="9"/>
          </reference>
        </references>
      </pivotArea>
    </format>
    <format dxfId="85">
      <pivotArea field="0" dataOnly="0" labelOnly="1" grandRow="1" outline="0" axis="axisRow" fieldPosition="0">
        <references count="1">
          <reference field="4294967294" count="1" selected="0">
            <x v="10"/>
          </reference>
        </references>
      </pivotArea>
    </format>
    <format dxfId="84">
      <pivotArea field="0" dataOnly="0" labelOnly="1" grandRow="1" outline="0" axis="axisRow" fieldPosition="0">
        <references count="1">
          <reference field="4294967294" count="1" selected="0">
            <x v="11"/>
          </reference>
        </references>
      </pivotArea>
    </format>
    <format dxfId="83">
      <pivotArea field="0" dataOnly="0" labelOnly="1" grandRow="1" outline="0" axis="axisRow" fieldPosition="0">
        <references count="1">
          <reference field="4294967294" count="1" selected="0">
            <x v="12"/>
          </reference>
        </references>
      </pivotArea>
    </format>
    <format dxfId="82">
      <pivotArea field="0" dataOnly="0" labelOnly="1" grandRow="1" outline="0" axis="axisRow" fieldPosition="0">
        <references count="1">
          <reference field="4294967294" count="1" selected="0">
            <x v="13"/>
          </reference>
        </references>
      </pivotArea>
    </format>
    <format dxfId="81">
      <pivotArea field="0" dataOnly="0" labelOnly="1" grandRow="1" outline="0" axis="axisRow" fieldPosition="0">
        <references count="1">
          <reference field="4294967294" count="1" selected="0">
            <x v="14"/>
          </reference>
        </references>
      </pivotArea>
    </format>
    <format dxfId="80">
      <pivotArea field="0" dataOnly="0" labelOnly="1" grandRow="1" outline="0" axis="axisRow" fieldPosition="0">
        <references count="1">
          <reference field="4294967294" count="1" selected="0">
            <x v="15"/>
          </reference>
        </references>
      </pivotArea>
    </format>
    <format dxfId="79">
      <pivotArea field="0" dataOnly="0" labelOnly="1" grandRow="1" outline="0" axis="axisRow" fieldPosition="0">
        <references count="1">
          <reference field="4294967294" count="1" selected="0">
            <x v="16"/>
          </reference>
        </references>
      </pivotArea>
    </format>
    <format dxfId="78">
      <pivotArea field="0" dataOnly="0" labelOnly="1" grandRow="1" outline="0" axis="axisRow" fieldPosition="0">
        <references count="1">
          <reference field="4294967294" count="1" selected="0">
            <x v="17"/>
          </reference>
        </references>
      </pivotArea>
    </format>
    <format dxfId="77">
      <pivotArea field="0" dataOnly="0" labelOnly="1" grandRow="1" outline="0" axis="axisRow" fieldPosition="0">
        <references count="1">
          <reference field="4294967294" count="1" selected="0">
            <x v="18"/>
          </reference>
        </references>
      </pivotArea>
    </format>
    <format dxfId="76">
      <pivotArea field="0" dataOnly="0" labelOnly="1" grandRow="1" outline="0" axis="axisRow" fieldPosition="0">
        <references count="1">
          <reference field="4294967294" count="1" selected="0">
            <x v="19"/>
          </reference>
        </references>
      </pivotArea>
    </format>
    <format dxfId="75">
      <pivotArea field="0" dataOnly="0" labelOnly="1" grandRow="1" outline="0" axis="axisRow" fieldPosition="0">
        <references count="1">
          <reference field="4294967294" count="1" selected="0">
            <x v="20"/>
          </reference>
        </references>
      </pivotArea>
    </format>
    <format dxfId="74">
      <pivotArea field="0" dataOnly="0" labelOnly="1" grandRow="1" outline="0" axis="axisRow" fieldPosition="0">
        <references count="1">
          <reference field="4294967294" count="1" selected="0">
            <x v="21"/>
          </reference>
        </references>
      </pivotArea>
    </format>
    <format dxfId="73">
      <pivotArea field="0" dataOnly="0" labelOnly="1" grandRow="1" outline="0" axis="axisRow" fieldPosition="0">
        <references count="1">
          <reference field="4294967294" count="1" selected="0">
            <x v="22"/>
          </reference>
        </references>
      </pivotArea>
    </format>
    <format dxfId="72">
      <pivotArea field="0" dataOnly="0" labelOnly="1" grandRow="1" outline="0" axis="axisRow" fieldPosition="0">
        <references count="1">
          <reference field="4294967294" count="1" selected="0">
            <x v="23"/>
          </reference>
        </references>
      </pivotArea>
    </format>
    <format dxfId="71">
      <pivotArea field="0" dataOnly="0" labelOnly="1" grandRow="1" outline="0" axis="axisRow" fieldPosition="0">
        <references count="1">
          <reference field="4294967294" count="1" selected="0">
            <x v="24"/>
          </reference>
        </references>
      </pivotArea>
    </format>
    <format dxfId="70">
      <pivotArea field="0" dataOnly="0" labelOnly="1" grandRow="1" outline="0" axis="axisRow" fieldPosition="0">
        <references count="1">
          <reference field="4294967294" count="1" selected="0">
            <x v="25"/>
          </reference>
        </references>
      </pivotArea>
    </format>
    <format dxfId="69">
      <pivotArea field="0" dataOnly="0" labelOnly="1" grandRow="1" outline="0" axis="axisRow" fieldPosition="0">
        <references count="1">
          <reference field="4294967294" count="1" selected="0">
            <x v="26"/>
          </reference>
        </references>
      </pivotArea>
    </format>
    <format dxfId="68">
      <pivotArea field="0" dataOnly="0" labelOnly="1" grandRow="1" outline="0" axis="axisRow" fieldPosition="0">
        <references count="1">
          <reference field="4294967294" count="1" selected="0">
            <x v="27"/>
          </reference>
        </references>
      </pivotArea>
    </format>
    <format dxfId="67">
      <pivotArea field="0" dataOnly="0" labelOnly="1" grandRow="1" outline="0" axis="axisRow" fieldPosition="0">
        <references count="1">
          <reference field="4294967294" count="1" selected="0">
            <x v="28"/>
          </reference>
        </references>
      </pivotArea>
    </format>
    <format dxfId="66">
      <pivotArea field="0" dataOnly="0" labelOnly="1" grandRow="1" outline="0" axis="axisRow" fieldPosition="0">
        <references count="1">
          <reference field="4294967294" count="1" selected="0">
            <x v="29"/>
          </reference>
        </references>
      </pivotArea>
    </format>
    <format dxfId="65">
      <pivotArea field="0" dataOnly="0" labelOnly="1" grandRow="1" outline="0" axis="axisRow" fieldPosition="0">
        <references count="1">
          <reference field="4294967294" count="1" selected="0">
            <x v="30"/>
          </reference>
        </references>
      </pivotArea>
    </format>
    <format dxfId="64">
      <pivotArea field="0" dataOnly="0" labelOnly="1" grandRow="1" outline="0" axis="axisRow" fieldPosition="0">
        <references count="1">
          <reference field="4294967294" count="1" selected="0">
            <x v="31"/>
          </reference>
        </references>
      </pivotArea>
    </format>
    <format dxfId="63">
      <pivotArea field="0" dataOnly="0" labelOnly="1" grandRow="1" outline="0" axis="axisRow" fieldPosition="0">
        <references count="1">
          <reference field="4294967294" count="1" selected="0">
            <x v="32"/>
          </reference>
        </references>
      </pivotArea>
    </format>
    <format dxfId="62">
      <pivotArea field="0" dataOnly="0" labelOnly="1" grandRow="1" outline="0" axis="axisRow" fieldPosition="0">
        <references count="1">
          <reference field="4294967294" count="1" selected="0">
            <x v="33"/>
          </reference>
        </references>
      </pivotArea>
    </format>
    <format dxfId="61">
      <pivotArea field="0" dataOnly="0" labelOnly="1" grandRow="1" outline="0" axis="axisRow" fieldPosition="0">
        <references count="1">
          <reference field="4294967294" count="1" selected="0">
            <x v="34"/>
          </reference>
        </references>
      </pivotArea>
    </format>
    <format dxfId="60">
      <pivotArea field="0" dataOnly="0" labelOnly="1" grandRow="1" outline="0" axis="axisRow" fieldPosition="0">
        <references count="1">
          <reference field="4294967294" count="1" selected="0">
            <x v="35"/>
          </reference>
        </references>
      </pivotArea>
    </format>
    <format dxfId="59">
      <pivotArea field="0" dataOnly="0" labelOnly="1" grandRow="1" outline="0" axis="axisRow" fieldPosition="0">
        <references count="1">
          <reference field="4294967294" count="1" selected="0">
            <x v="0"/>
          </reference>
        </references>
      </pivotArea>
    </format>
    <format dxfId="58">
      <pivotArea field="0" dataOnly="0" labelOnly="1" grandRow="1" outline="0" axis="axisRow" fieldPosition="0">
        <references count="1">
          <reference field="4294967294" count="1" selected="0">
            <x v="1"/>
          </reference>
        </references>
      </pivotArea>
    </format>
    <format dxfId="57">
      <pivotArea field="0" dataOnly="0" labelOnly="1" grandRow="1" outline="0" axis="axisRow" fieldPosition="0">
        <references count="1">
          <reference field="4294967294" count="1" selected="0">
            <x v="2"/>
          </reference>
        </references>
      </pivotArea>
    </format>
    <format dxfId="56">
      <pivotArea field="0" dataOnly="0" labelOnly="1" grandRow="1" outline="0" axis="axisRow" fieldPosition="0">
        <references count="1">
          <reference field="4294967294" count="1" selected="0">
            <x v="3"/>
          </reference>
        </references>
      </pivotArea>
    </format>
    <format dxfId="55">
      <pivotArea field="0" dataOnly="0" labelOnly="1" grandRow="1" outline="0" axis="axisRow" fieldPosition="0">
        <references count="1">
          <reference field="4294967294" count="1" selected="0">
            <x v="4"/>
          </reference>
        </references>
      </pivotArea>
    </format>
    <format dxfId="54">
      <pivotArea field="0" dataOnly="0" labelOnly="1" grandRow="1" outline="0" axis="axisRow" fieldPosition="0">
        <references count="1">
          <reference field="4294967294" count="1" selected="0">
            <x v="5"/>
          </reference>
        </references>
      </pivotArea>
    </format>
    <format dxfId="53">
      <pivotArea field="0" dataOnly="0" labelOnly="1" grandRow="1" outline="0" axis="axisRow" fieldPosition="0">
        <references count="1">
          <reference field="4294967294" count="1" selected="0">
            <x v="6"/>
          </reference>
        </references>
      </pivotArea>
    </format>
    <format dxfId="52">
      <pivotArea field="0" dataOnly="0" labelOnly="1" grandRow="1" outline="0" axis="axisRow" fieldPosition="0">
        <references count="1">
          <reference field="4294967294" count="1" selected="0">
            <x v="7"/>
          </reference>
        </references>
      </pivotArea>
    </format>
    <format dxfId="51">
      <pivotArea field="0" dataOnly="0" labelOnly="1" grandRow="1" outline="0" axis="axisRow" fieldPosition="0">
        <references count="1">
          <reference field="4294967294" count="1" selected="0">
            <x v="8"/>
          </reference>
        </references>
      </pivotArea>
    </format>
    <format dxfId="50">
      <pivotArea field="0" dataOnly="0" labelOnly="1" grandRow="1" outline="0" axis="axisRow" fieldPosition="0">
        <references count="1">
          <reference field="4294967294" count="1" selected="0">
            <x v="9"/>
          </reference>
        </references>
      </pivotArea>
    </format>
    <format dxfId="49">
      <pivotArea field="0" dataOnly="0" labelOnly="1" grandRow="1" outline="0" axis="axisRow" fieldPosition="0">
        <references count="1">
          <reference field="4294967294" count="1" selected="0">
            <x v="10"/>
          </reference>
        </references>
      </pivotArea>
    </format>
    <format dxfId="48">
      <pivotArea field="0" dataOnly="0" labelOnly="1" grandRow="1" outline="0" axis="axisRow" fieldPosition="0">
        <references count="1">
          <reference field="4294967294" count="1" selected="0">
            <x v="11"/>
          </reference>
        </references>
      </pivotArea>
    </format>
    <format dxfId="47">
      <pivotArea field="0" dataOnly="0" labelOnly="1" grandRow="1" outline="0" axis="axisRow" fieldPosition="0">
        <references count="1">
          <reference field="4294967294" count="1" selected="0">
            <x v="12"/>
          </reference>
        </references>
      </pivotArea>
    </format>
    <format dxfId="46">
      <pivotArea field="0" dataOnly="0" labelOnly="1" grandRow="1" outline="0" axis="axisRow" fieldPosition="0">
        <references count="1">
          <reference field="4294967294" count="1" selected="0">
            <x v="13"/>
          </reference>
        </references>
      </pivotArea>
    </format>
    <format dxfId="45">
      <pivotArea field="0" dataOnly="0" labelOnly="1" grandRow="1" outline="0" axis="axisRow" fieldPosition="0">
        <references count="1">
          <reference field="4294967294" count="1" selected="0">
            <x v="14"/>
          </reference>
        </references>
      </pivotArea>
    </format>
    <format dxfId="44">
      <pivotArea field="0" dataOnly="0" labelOnly="1" grandRow="1" outline="0" axis="axisRow" fieldPosition="0">
        <references count="1">
          <reference field="4294967294" count="1" selected="0">
            <x v="15"/>
          </reference>
        </references>
      </pivotArea>
    </format>
    <format dxfId="43">
      <pivotArea field="0" dataOnly="0" labelOnly="1" grandRow="1" outline="0" axis="axisRow" fieldPosition="0">
        <references count="1">
          <reference field="4294967294" count="1" selected="0">
            <x v="16"/>
          </reference>
        </references>
      </pivotArea>
    </format>
    <format dxfId="42">
      <pivotArea field="0" dataOnly="0" labelOnly="1" grandRow="1" outline="0" axis="axisRow" fieldPosition="0">
        <references count="1">
          <reference field="4294967294" count="1" selected="0">
            <x v="17"/>
          </reference>
        </references>
      </pivotArea>
    </format>
    <format dxfId="41">
      <pivotArea field="0" dataOnly="0" labelOnly="1" grandRow="1" outline="0" axis="axisRow" fieldPosition="0">
        <references count="1">
          <reference field="4294967294" count="1" selected="0">
            <x v="18"/>
          </reference>
        </references>
      </pivotArea>
    </format>
    <format dxfId="40">
      <pivotArea field="0" dataOnly="0" labelOnly="1" grandRow="1" outline="0" axis="axisRow" fieldPosition="0">
        <references count="1">
          <reference field="4294967294" count="1" selected="0">
            <x v="19"/>
          </reference>
        </references>
      </pivotArea>
    </format>
    <format dxfId="39">
      <pivotArea field="0" dataOnly="0" labelOnly="1" grandRow="1" outline="0" axis="axisRow" fieldPosition="0">
        <references count="1">
          <reference field="4294967294" count="1" selected="0">
            <x v="20"/>
          </reference>
        </references>
      </pivotArea>
    </format>
    <format dxfId="38">
      <pivotArea field="0" dataOnly="0" labelOnly="1" grandRow="1" outline="0" axis="axisRow" fieldPosition="0">
        <references count="1">
          <reference field="4294967294" count="1" selected="0">
            <x v="21"/>
          </reference>
        </references>
      </pivotArea>
    </format>
    <format dxfId="37">
      <pivotArea field="0" dataOnly="0" labelOnly="1" grandRow="1" outline="0" axis="axisRow" fieldPosition="0">
        <references count="1">
          <reference field="4294967294" count="1" selected="0">
            <x v="22"/>
          </reference>
        </references>
      </pivotArea>
    </format>
    <format dxfId="36">
      <pivotArea field="0" dataOnly="0" labelOnly="1" grandRow="1" outline="0" axis="axisRow" fieldPosition="0">
        <references count="1">
          <reference field="4294967294" count="1" selected="0">
            <x v="23"/>
          </reference>
        </references>
      </pivotArea>
    </format>
    <format dxfId="35">
      <pivotArea field="0" dataOnly="0" labelOnly="1" grandRow="1" outline="0" axis="axisRow" fieldPosition="0">
        <references count="1">
          <reference field="4294967294" count="1" selected="0">
            <x v="24"/>
          </reference>
        </references>
      </pivotArea>
    </format>
    <format dxfId="34">
      <pivotArea field="0" dataOnly="0" labelOnly="1" grandRow="1" outline="0" axis="axisRow" fieldPosition="0">
        <references count="1">
          <reference field="4294967294" count="1" selected="0">
            <x v="25"/>
          </reference>
        </references>
      </pivotArea>
    </format>
    <format dxfId="33">
      <pivotArea field="0" dataOnly="0" labelOnly="1" grandRow="1" outline="0" axis="axisRow" fieldPosition="0">
        <references count="1">
          <reference field="4294967294" count="1" selected="0">
            <x v="26"/>
          </reference>
        </references>
      </pivotArea>
    </format>
    <format dxfId="32">
      <pivotArea field="0" dataOnly="0" labelOnly="1" grandRow="1" outline="0" axis="axisRow" fieldPosition="0">
        <references count="1">
          <reference field="4294967294" count="1" selected="0">
            <x v="27"/>
          </reference>
        </references>
      </pivotArea>
    </format>
    <format dxfId="31">
      <pivotArea field="0" dataOnly="0" labelOnly="1" grandRow="1" outline="0" axis="axisRow" fieldPosition="0">
        <references count="1">
          <reference field="4294967294" count="1" selected="0">
            <x v="28"/>
          </reference>
        </references>
      </pivotArea>
    </format>
    <format dxfId="30">
      <pivotArea field="0" dataOnly="0" labelOnly="1" grandRow="1" outline="0" axis="axisRow" fieldPosition="0">
        <references count="1">
          <reference field="4294967294" count="1" selected="0">
            <x v="29"/>
          </reference>
        </references>
      </pivotArea>
    </format>
    <format dxfId="29">
      <pivotArea field="0" dataOnly="0" labelOnly="1" grandRow="1" outline="0" axis="axisRow" fieldPosition="0">
        <references count="1">
          <reference field="4294967294" count="1" selected="0">
            <x v="30"/>
          </reference>
        </references>
      </pivotArea>
    </format>
    <format dxfId="28">
      <pivotArea field="0" dataOnly="0" labelOnly="1" grandRow="1" outline="0" axis="axisRow" fieldPosition="0">
        <references count="1">
          <reference field="4294967294" count="1" selected="0">
            <x v="31"/>
          </reference>
        </references>
      </pivotArea>
    </format>
    <format dxfId="27">
      <pivotArea field="0" dataOnly="0" labelOnly="1" grandRow="1" outline="0" axis="axisRow" fieldPosition="0">
        <references count="1">
          <reference field="4294967294" count="1" selected="0">
            <x v="32"/>
          </reference>
        </references>
      </pivotArea>
    </format>
    <format dxfId="26">
      <pivotArea field="0" dataOnly="0" labelOnly="1" grandRow="1" outline="0" axis="axisRow" fieldPosition="0">
        <references count="1">
          <reference field="4294967294" count="1" selected="0">
            <x v="33"/>
          </reference>
        </references>
      </pivotArea>
    </format>
    <format dxfId="25">
      <pivotArea field="0" dataOnly="0" labelOnly="1" grandRow="1" outline="0" axis="axisRow" fieldPosition="0">
        <references count="1">
          <reference field="4294967294" count="1" selected="0">
            <x v="34"/>
          </reference>
        </references>
      </pivotArea>
    </format>
    <format dxfId="24">
      <pivotArea field="0" dataOnly="0" labelOnly="1" grandRow="1" outline="0" axis="axisRow" fieldPosition="0">
        <references count="1">
          <reference field="4294967294" count="1" selected="0">
            <x v="35"/>
          </reference>
        </references>
      </pivotArea>
    </format>
    <format dxfId="23">
      <pivotArea field="0" dataOnly="0" labelOnly="1" grandRow="1" outline="0" axis="axisRow" fieldPosition="0">
        <references count="1">
          <reference field="4294967294" count="1" selected="0">
            <x v="35"/>
          </reference>
        </references>
      </pivotArea>
    </format>
    <format dxfId="2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2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2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1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1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1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1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1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1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1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1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1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1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6">
      <pivotArea dataOnly="0" labelOnly="1" outline="0" fieldPosition="0">
        <references count="1">
          <reference field="70" count="0"/>
        </references>
      </pivotArea>
    </format>
    <format dxfId="5">
      <pivotArea dataOnly="0" labelOnly="1" outline="0" fieldPosition="0">
        <references count="1">
          <reference field="70" count="0" defaultSubtotal="1"/>
        </references>
      </pivotArea>
    </format>
    <format dxfId="4">
      <pivotArea dataOnly="0" labelOnly="1" grandCol="1" outline="0" fieldPosition="0"/>
    </format>
    <format dxfId="3">
      <pivotArea dataOnly="0" labelOnly="1" outline="0" fieldPosition="0">
        <references count="2">
          <reference field="4" count="7">
            <x v="0"/>
            <x v="1"/>
            <x v="2"/>
            <x v="3"/>
            <x v="4"/>
            <x v="5"/>
            <x v="6"/>
          </reference>
          <reference field="70" count="1" selected="0">
            <x v="0"/>
          </reference>
        </references>
      </pivotArea>
    </format>
    <format dxfId="2">
      <pivotArea dataOnly="0" labelOnly="1" outline="0" fieldPosition="0">
        <references count="2">
          <reference field="4" count="4">
            <x v="7"/>
            <x v="8"/>
            <x v="9"/>
            <x v="10"/>
          </reference>
          <reference field="70" count="1" selected="0">
            <x v="1"/>
          </reference>
        </references>
      </pivotArea>
    </format>
    <format dxfId="1">
      <pivotArea dataOnly="0" labelOnly="1" outline="0" fieldPosition="0">
        <references count="2">
          <reference field="4" count="2">
            <x v="11"/>
            <x v="12"/>
          </reference>
          <reference field="70" count="1" selected="0">
            <x v="2"/>
          </reference>
        </references>
      </pivotArea>
    </format>
    <format dxfId="0">
      <pivotArea dataOnly="0" labelOnly="1" outline="0" fieldPosition="0">
        <references count="2">
          <reference field="4" count="1">
            <x v="16"/>
          </reference>
          <reference field="70" count="1" selected="0">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BCEA52A-07C2-43E3-9C4E-0D1C4B4377F0}" name="PivotTable2" cacheId="23" dataOnRows="1" applyNumberFormats="0" applyBorderFormats="0" applyFontFormats="0" applyPatternFormats="0" applyAlignmentFormats="0" applyWidthHeightFormats="1" dataCaption="Data" updatedVersion="6" asteriskTotals="1" showMemberPropertyTips="0" useAutoFormatting="1" rowGrandTotals="0" colGrandTotals="0" itemPrintTitles="1" createdVersion="1" indent="0" compact="0" compactData="0" gridDropZones="1">
  <location ref="A3:V133"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7">
        <item x="0"/>
        <item x="1"/>
        <item x="2"/>
        <item x="3"/>
        <item x="4"/>
        <item x="5"/>
        <item x="11"/>
        <item m="1" x="16"/>
        <item x="14"/>
        <item m="1" x="15"/>
        <item x="13"/>
        <item x="6"/>
        <item x="7"/>
        <item x="8"/>
        <item x="9"/>
        <item x="10"/>
        <item x="12"/>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8">
        <item n="Four-Year" x="3"/>
        <item x="2"/>
        <item x="1"/>
        <item n="Two-Year" x="4"/>
        <item n="Techncial" x="5"/>
        <item x="0"/>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70"/>
    <field x="4"/>
  </colFields>
  <colItems count="20">
    <i>
      <x/>
      <x/>
    </i>
    <i r="1">
      <x v="1"/>
    </i>
    <i r="1">
      <x v="2"/>
    </i>
    <i r="1">
      <x v="3"/>
    </i>
    <i r="1">
      <x v="4"/>
    </i>
    <i r="1">
      <x v="5"/>
    </i>
    <i r="1">
      <x v="6"/>
    </i>
    <i t="default">
      <x/>
    </i>
    <i>
      <x v="2"/>
      <x v="8"/>
    </i>
    <i t="default">
      <x v="2"/>
    </i>
    <i>
      <x v="3"/>
      <x v="10"/>
    </i>
    <i r="1">
      <x v="11"/>
    </i>
    <i r="1">
      <x v="12"/>
    </i>
    <i r="1">
      <x v="13"/>
    </i>
    <i t="default">
      <x v="3"/>
    </i>
    <i>
      <x v="4"/>
      <x v="14"/>
    </i>
    <i r="1">
      <x v="15"/>
    </i>
    <i t="default">
      <x v="4"/>
    </i>
    <i>
      <x v="6"/>
      <x v="16"/>
    </i>
    <i t="default">
      <x v="6"/>
    </i>
  </colItems>
  <dataFields count="8">
    <dataField name="Sum of OLD-Tot UG SCH Calc" fld="5" baseField="0" baseItem="0"/>
    <dataField name="Sum of NEW-Tot UG SCH Calc" fld="6" baseField="0" baseItem="0"/>
    <dataField name="Sum of Old UG E-Learning" fld="63" baseField="0" baseItem="0"/>
    <dataField name="Sum of New UG E-Learning" fld="65" baseField="0" baseItem="0"/>
    <dataField name="Sum of Old-Tot G SCH Calc" fld="19" baseField="0" baseItem="0"/>
    <dataField name="Sum of New-Tot G SCH Calc" fld="20" baseField="0" baseItem="0"/>
    <dataField name="Sum of Old G E-Learning" fld="64" baseField="0" baseItem="0"/>
    <dataField name="Sum of New G E-Learning" fld="66" baseField="0" baseItem="0"/>
  </dataFields>
  <formats count="147">
    <format dxfId="4850">
      <pivotArea field="4" type="button" dataOnly="0" labelOnly="1" outline="0" axis="axisCol" fieldPosition="1"/>
    </format>
    <format dxfId="4849">
      <pivotArea type="topRight" dataOnly="0" labelOnly="1" outline="0" fieldPosition="0"/>
    </format>
    <format dxfId="4848">
      <pivotArea dataOnly="0" labelOnly="1" grandCol="1" outline="0" fieldPosition="0"/>
    </format>
    <format dxfId="4847">
      <pivotArea dataOnly="0" labelOnly="1" outline="0" offset="IV256" fieldPosition="0">
        <references count="1">
          <reference field="0" count="1">
            <x v="3"/>
          </reference>
        </references>
      </pivotArea>
    </format>
    <format dxfId="4846">
      <pivotArea dataOnly="0" labelOnly="1" outline="0" offset="IV256" fieldPosition="0">
        <references count="1">
          <reference field="0" count="1">
            <x v="4"/>
          </reference>
        </references>
      </pivotArea>
    </format>
    <format dxfId="4845">
      <pivotArea dataOnly="0" labelOnly="1" outline="0" offset="IV256" fieldPosition="0">
        <references count="1">
          <reference field="0" count="1">
            <x v="5"/>
          </reference>
        </references>
      </pivotArea>
    </format>
    <format dxfId="4844">
      <pivotArea dataOnly="0" labelOnly="1" outline="0" offset="IV256" fieldPosition="0">
        <references count="1">
          <reference field="0" count="1">
            <x v="7"/>
          </reference>
        </references>
      </pivotArea>
    </format>
    <format dxfId="4843">
      <pivotArea dataOnly="0" labelOnly="1" outline="0" offset="IV256" fieldPosition="0">
        <references count="1">
          <reference field="0" count="1">
            <x v="8"/>
          </reference>
        </references>
      </pivotArea>
    </format>
    <format dxfId="4842">
      <pivotArea dataOnly="0" labelOnly="1" outline="0" offset="IV256" fieldPosition="0">
        <references count="1">
          <reference field="0" count="1">
            <x v="9"/>
          </reference>
        </references>
      </pivotArea>
    </format>
    <format dxfId="4841">
      <pivotArea dataOnly="0" labelOnly="1" outline="0" offset="IV256" fieldPosition="0">
        <references count="1">
          <reference field="0" count="1">
            <x v="10"/>
          </reference>
        </references>
      </pivotArea>
    </format>
    <format dxfId="4840">
      <pivotArea dataOnly="0" labelOnly="1" outline="0" offset="IV256" fieldPosition="0">
        <references count="1">
          <reference field="0" count="1">
            <x v="11"/>
          </reference>
        </references>
      </pivotArea>
    </format>
    <format dxfId="4839">
      <pivotArea dataOnly="0" labelOnly="1" outline="0" offset="IV256" fieldPosition="0">
        <references count="1">
          <reference field="0" count="1">
            <x v="12"/>
          </reference>
        </references>
      </pivotArea>
    </format>
    <format dxfId="4838">
      <pivotArea dataOnly="0" labelOnly="1" outline="0" offset="IV256" fieldPosition="0">
        <references count="1">
          <reference field="0" count="1">
            <x v="13"/>
          </reference>
        </references>
      </pivotArea>
    </format>
    <format dxfId="4837">
      <pivotArea type="origin" dataOnly="0" labelOnly="1" outline="0" offset="A2:B2" fieldPosition="0"/>
    </format>
    <format dxfId="4836">
      <pivotArea dataOnly="0" labelOnly="1" outline="0" fieldPosition="0">
        <references count="1">
          <reference field="0" count="0"/>
        </references>
      </pivotArea>
    </format>
    <format dxfId="4835">
      <pivotArea dataOnly="0" labelOnly="1" outline="0" offset="IV1" fieldPosition="0">
        <references count="1">
          <reference field="0" count="1">
            <x v="0"/>
          </reference>
        </references>
      </pivotArea>
    </format>
    <format dxfId="4834">
      <pivotArea type="origin" dataOnly="0" labelOnly="1" outline="0" fieldPosition="0"/>
    </format>
    <format dxfId="4833">
      <pivotArea field="0" type="button" dataOnly="0" labelOnly="1" outline="0" axis="axisRow" fieldPosition="0"/>
    </format>
    <format dxfId="4832">
      <pivotArea dataOnly="0" labelOnly="1" outline="0" offset="IV5:IV6" fieldPosition="0">
        <references count="1">
          <reference field="0" count="1">
            <x v="1"/>
          </reference>
        </references>
      </pivotArea>
    </format>
    <format dxfId="4831">
      <pivotArea dataOnly="0" labelOnly="1" outline="0" offset="IV7:IV8" fieldPosition="0">
        <references count="1">
          <reference field="0" count="1">
            <x v="1"/>
          </reference>
        </references>
      </pivotArea>
    </format>
    <format dxfId="4830">
      <pivotArea dataOnly="0" labelOnly="1" outline="0" offset="IV9:IV10" fieldPosition="0">
        <references count="1">
          <reference field="0" count="1">
            <x v="1"/>
          </reference>
        </references>
      </pivotArea>
    </format>
    <format dxfId="4829">
      <pivotArea dataOnly="0" labelOnly="1" outline="0" offset="IV11:IV12" fieldPosition="0">
        <references count="1">
          <reference field="0" count="1">
            <x v="1"/>
          </reference>
        </references>
      </pivotArea>
    </format>
    <format dxfId="4828">
      <pivotArea dataOnly="0" labelOnly="1" outline="0" offset="IV256" fieldPosition="0">
        <references count="1">
          <reference field="0" count="1">
            <x v="0"/>
          </reference>
        </references>
      </pivotArea>
    </format>
    <format dxfId="4827">
      <pivotArea dataOnly="0" labelOnly="1" grandCol="1" outline="0" offset="IV256" fieldPosition="0"/>
    </format>
    <format dxfId="4826">
      <pivotArea dataOnly="0" labelOnly="1" outline="0" offset="IV256" fieldPosition="0">
        <references count="1">
          <reference field="0" count="1">
            <x v="1"/>
          </reference>
        </references>
      </pivotArea>
    </format>
    <format dxfId="4825">
      <pivotArea dataOnly="0" labelOnly="1" outline="0" offset="IV1" fieldPosition="0">
        <references count="1">
          <reference field="0" count="1">
            <x v="0"/>
          </reference>
        </references>
      </pivotArea>
    </format>
    <format dxfId="4824">
      <pivotArea dataOnly="0" labelOnly="1" outline="0" offset="IV1" fieldPosition="0">
        <references count="1">
          <reference field="0" count="1">
            <x v="1"/>
          </reference>
        </references>
      </pivotArea>
    </format>
    <format dxfId="4823">
      <pivotArea dataOnly="0" labelOnly="1" outline="0" offset="IV1" fieldPosition="0">
        <references count="1">
          <reference field="0" count="1">
            <x v="3"/>
          </reference>
        </references>
      </pivotArea>
    </format>
    <format dxfId="4822">
      <pivotArea dataOnly="0" labelOnly="1" outline="0" offset="IV1" fieldPosition="0">
        <references count="1">
          <reference field="0" count="1">
            <x v="4"/>
          </reference>
        </references>
      </pivotArea>
    </format>
    <format dxfId="4821">
      <pivotArea dataOnly="0" labelOnly="1" outline="0" offset="IV256" fieldPosition="0">
        <references count="1">
          <reference field="0" count="1">
            <x v="15"/>
          </reference>
        </references>
      </pivotArea>
    </format>
    <format dxfId="4820">
      <pivotArea outline="0" fieldPosition="0">
        <references count="1">
          <reference field="0" count="1" selected="0">
            <x v="0"/>
          </reference>
        </references>
      </pivotArea>
    </format>
    <format dxfId="4819">
      <pivotArea dataOnly="0" labelOnly="1" outline="0" fieldPosition="0">
        <references count="1">
          <reference field="0" count="1">
            <x v="0"/>
          </reference>
        </references>
      </pivotArea>
    </format>
    <format dxfId="4818">
      <pivotArea dataOnly="0" labelOnly="1" outline="0" fieldPosition="0">
        <references count="2">
          <reference field="4294967294" count="0"/>
          <reference field="0" count="1" selected="0">
            <x v="0"/>
          </reference>
        </references>
      </pivotArea>
    </format>
    <format dxfId="4817">
      <pivotArea type="all" dataOnly="0" outline="0" fieldPosition="0"/>
    </format>
    <format dxfId="4816">
      <pivotArea outline="0" fieldPosition="0"/>
    </format>
    <format dxfId="4815">
      <pivotArea outline="0" fieldPosition="0">
        <references count="2">
          <reference field="4294967294" count="1" selected="0">
            <x v="0"/>
          </reference>
          <reference field="0" count="1" selected="0">
            <x v="4"/>
          </reference>
        </references>
      </pivotArea>
    </format>
    <format dxfId="4814">
      <pivotArea outline="0" fieldPosition="0">
        <references count="2">
          <reference field="4294967294" count="1" selected="0">
            <x v="0"/>
          </reference>
          <reference field="0" count="1" selected="0">
            <x v="5"/>
          </reference>
        </references>
      </pivotArea>
    </format>
    <format dxfId="4813">
      <pivotArea outline="0" fieldPosition="0">
        <references count="2">
          <reference field="4294967294" count="1" selected="0">
            <x v="0"/>
          </reference>
          <reference field="0" count="1" selected="0">
            <x v="7"/>
          </reference>
        </references>
      </pivotArea>
    </format>
    <format dxfId="4812">
      <pivotArea outline="0" fieldPosition="0">
        <references count="2">
          <reference field="4294967294" count="1" selected="0">
            <x v="1"/>
          </reference>
          <reference field="0" count="1" selected="0">
            <x v="4"/>
          </reference>
        </references>
      </pivotArea>
    </format>
    <format dxfId="4811">
      <pivotArea outline="0" fieldPosition="0">
        <references count="2">
          <reference field="4294967294" count="1" selected="0">
            <x v="1"/>
          </reference>
          <reference field="0" count="1" selected="0">
            <x v="5"/>
          </reference>
        </references>
      </pivotArea>
    </format>
    <format dxfId="4810">
      <pivotArea outline="0" fieldPosition="0">
        <references count="2">
          <reference field="4294967294" count="1" selected="0">
            <x v="2"/>
          </reference>
          <reference field="0" count="1" selected="0">
            <x v="4"/>
          </reference>
        </references>
      </pivotArea>
    </format>
    <format dxfId="4809">
      <pivotArea outline="0" fieldPosition="0">
        <references count="2">
          <reference field="4294967294" count="1" selected="0">
            <x v="2"/>
          </reference>
          <reference field="0" count="1" selected="0">
            <x v="5"/>
          </reference>
        </references>
      </pivotArea>
    </format>
    <format dxfId="4808">
      <pivotArea outline="0" fieldPosition="0">
        <references count="2">
          <reference field="4294967294" count="1" selected="0">
            <x v="2"/>
          </reference>
          <reference field="0" count="1" selected="0">
            <x v="7"/>
          </reference>
        </references>
      </pivotArea>
    </format>
    <format dxfId="4807">
      <pivotArea outline="0" fieldPosition="0">
        <references count="2">
          <reference field="4294967294" count="1" selected="0">
            <x v="3"/>
          </reference>
          <reference field="0" count="1" selected="0">
            <x v="5"/>
          </reference>
        </references>
      </pivotArea>
    </format>
    <format dxfId="4806">
      <pivotArea outline="0" fieldPosition="0">
        <references count="2">
          <reference field="4294967294" count="1" selected="0">
            <x v="3"/>
          </reference>
          <reference field="0" count="1" selected="0">
            <x v="4"/>
          </reference>
        </references>
      </pivotArea>
    </format>
    <format dxfId="4805">
      <pivotArea outline="0" fieldPosition="0">
        <references count="1">
          <reference field="0" count="1" selected="0">
            <x v="0"/>
          </reference>
        </references>
      </pivotArea>
    </format>
    <format dxfId="4804">
      <pivotArea dataOnly="0" labelOnly="1" outline="0" fieldPosition="0">
        <references count="1">
          <reference field="0" count="1">
            <x v="0"/>
          </reference>
        </references>
      </pivotArea>
    </format>
    <format dxfId="4803">
      <pivotArea dataOnly="0" labelOnly="1" outline="0" fieldPosition="0">
        <references count="2">
          <reference field="4294967294" count="0"/>
          <reference field="0" count="1" selected="0">
            <x v="0"/>
          </reference>
        </references>
      </pivotArea>
    </format>
    <format dxfId="4802">
      <pivotArea outline="0" fieldPosition="0">
        <references count="1">
          <reference field="0" count="1" selected="0">
            <x v="15"/>
          </reference>
        </references>
      </pivotArea>
    </format>
    <format dxfId="4801">
      <pivotArea dataOnly="0" labelOnly="1" outline="0" fieldPosition="0">
        <references count="1">
          <reference field="0" count="1">
            <x v="15"/>
          </reference>
        </references>
      </pivotArea>
    </format>
    <format dxfId="4800">
      <pivotArea dataOnly="0" labelOnly="1" outline="0" fieldPosition="0">
        <references count="2">
          <reference field="4294967294" count="0"/>
          <reference field="0" count="1" selected="0">
            <x v="15"/>
          </reference>
        </references>
      </pivotArea>
    </format>
    <format dxfId="4799">
      <pivotArea outline="0" fieldPosition="0">
        <references count="1">
          <reference field="0" count="1" selected="0">
            <x v="12"/>
          </reference>
        </references>
      </pivotArea>
    </format>
    <format dxfId="4798">
      <pivotArea dataOnly="0" labelOnly="1" outline="0" fieldPosition="0">
        <references count="1">
          <reference field="0" count="1">
            <x v="12"/>
          </reference>
        </references>
      </pivotArea>
    </format>
    <format dxfId="4797">
      <pivotArea dataOnly="0" labelOnly="1" outline="0" fieldPosition="0">
        <references count="2">
          <reference field="4294967294" count="0"/>
          <reference field="0" count="1" selected="0">
            <x v="12"/>
          </reference>
        </references>
      </pivotArea>
    </format>
    <format dxfId="4796">
      <pivotArea outline="0" fieldPosition="0"/>
    </format>
    <format dxfId="4795">
      <pivotArea field="-2" type="button" dataOnly="0" labelOnly="1" outline="0" axis="axisRow" fieldPosition="1"/>
    </format>
    <format dxfId="4794">
      <pivotArea field="4" type="button" dataOnly="0" labelOnly="1" outline="0" axis="axisCol" fieldPosition="1"/>
    </format>
    <format dxfId="4793">
      <pivotArea type="topRight" dataOnly="0" labelOnly="1" outline="0" fieldPosition="0"/>
    </format>
    <format dxfId="4792">
      <pivotArea dataOnly="0" labelOnly="1" outline="0" fieldPosition="0">
        <references count="2">
          <reference field="4294967294" count="8">
            <x v="0"/>
            <x v="1"/>
            <x v="2"/>
            <x v="3"/>
            <x v="4"/>
            <x v="5"/>
            <x v="6"/>
            <x v="7"/>
          </reference>
          <reference field="0" count="1" selected="0">
            <x v="0"/>
          </reference>
        </references>
      </pivotArea>
    </format>
    <format dxfId="4791">
      <pivotArea dataOnly="0" labelOnly="1" outline="0" fieldPosition="0">
        <references count="2">
          <reference field="4294967294" count="8">
            <x v="0"/>
            <x v="1"/>
            <x v="2"/>
            <x v="3"/>
            <x v="4"/>
            <x v="5"/>
            <x v="6"/>
            <x v="7"/>
          </reference>
          <reference field="0" count="1" selected="0">
            <x v="1"/>
          </reference>
        </references>
      </pivotArea>
    </format>
    <format dxfId="4790">
      <pivotArea dataOnly="0" labelOnly="1" outline="0" fieldPosition="0">
        <references count="2">
          <reference field="4294967294" count="8">
            <x v="0"/>
            <x v="1"/>
            <x v="2"/>
            <x v="3"/>
            <x v="4"/>
            <x v="5"/>
            <x v="6"/>
            <x v="7"/>
          </reference>
          <reference field="0" count="1" selected="0">
            <x v="3"/>
          </reference>
        </references>
      </pivotArea>
    </format>
    <format dxfId="4789">
      <pivotArea dataOnly="0" labelOnly="1" outline="0" fieldPosition="0">
        <references count="2">
          <reference field="4294967294" count="8">
            <x v="0"/>
            <x v="1"/>
            <x v="2"/>
            <x v="3"/>
            <x v="4"/>
            <x v="5"/>
            <x v="6"/>
            <x v="7"/>
          </reference>
          <reference field="0" count="1" selected="0">
            <x v="4"/>
          </reference>
        </references>
      </pivotArea>
    </format>
    <format dxfId="4788">
      <pivotArea dataOnly="0" labelOnly="1" outline="0" fieldPosition="0">
        <references count="2">
          <reference field="4294967294" count="8">
            <x v="0"/>
            <x v="1"/>
            <x v="2"/>
            <x v="3"/>
            <x v="4"/>
            <x v="5"/>
            <x v="6"/>
            <x v="7"/>
          </reference>
          <reference field="0" count="1" selected="0">
            <x v="5"/>
          </reference>
        </references>
      </pivotArea>
    </format>
    <format dxfId="4787">
      <pivotArea dataOnly="0" labelOnly="1" outline="0" fieldPosition="0">
        <references count="2">
          <reference field="4294967294" count="8">
            <x v="0"/>
            <x v="1"/>
            <x v="2"/>
            <x v="3"/>
            <x v="4"/>
            <x v="5"/>
            <x v="6"/>
            <x v="7"/>
          </reference>
          <reference field="0" count="1" selected="0">
            <x v="7"/>
          </reference>
        </references>
      </pivotArea>
    </format>
    <format dxfId="4786">
      <pivotArea dataOnly="0" labelOnly="1" outline="0" fieldPosition="0">
        <references count="2">
          <reference field="4294967294" count="8">
            <x v="0"/>
            <x v="1"/>
            <x v="2"/>
            <x v="3"/>
            <x v="4"/>
            <x v="5"/>
            <x v="6"/>
            <x v="7"/>
          </reference>
          <reference field="0" count="1" selected="0">
            <x v="8"/>
          </reference>
        </references>
      </pivotArea>
    </format>
    <format dxfId="4785">
      <pivotArea dataOnly="0" labelOnly="1" outline="0" fieldPosition="0">
        <references count="2">
          <reference field="4294967294" count="8">
            <x v="0"/>
            <x v="1"/>
            <x v="2"/>
            <x v="3"/>
            <x v="4"/>
            <x v="5"/>
            <x v="6"/>
            <x v="7"/>
          </reference>
          <reference field="0" count="1" selected="0">
            <x v="9"/>
          </reference>
        </references>
      </pivotArea>
    </format>
    <format dxfId="4784">
      <pivotArea dataOnly="0" labelOnly="1" outline="0" fieldPosition="0">
        <references count="2">
          <reference field="4294967294" count="8">
            <x v="0"/>
            <x v="1"/>
            <x v="2"/>
            <x v="3"/>
            <x v="4"/>
            <x v="5"/>
            <x v="6"/>
            <x v="7"/>
          </reference>
          <reference field="0" count="1" selected="0">
            <x v="10"/>
          </reference>
        </references>
      </pivotArea>
    </format>
    <format dxfId="4783">
      <pivotArea dataOnly="0" labelOnly="1" outline="0" fieldPosition="0">
        <references count="2">
          <reference field="4294967294" count="8">
            <x v="0"/>
            <x v="1"/>
            <x v="2"/>
            <x v="3"/>
            <x v="4"/>
            <x v="5"/>
            <x v="6"/>
            <x v="7"/>
          </reference>
          <reference field="0" count="1" selected="0">
            <x v="11"/>
          </reference>
        </references>
      </pivotArea>
    </format>
    <format dxfId="4782">
      <pivotArea dataOnly="0" labelOnly="1" outline="0" fieldPosition="0">
        <references count="2">
          <reference field="4294967294" count="8">
            <x v="0"/>
            <x v="1"/>
            <x v="2"/>
            <x v="3"/>
            <x v="4"/>
            <x v="5"/>
            <x v="6"/>
            <x v="7"/>
          </reference>
          <reference field="0" count="1" selected="0">
            <x v="12"/>
          </reference>
        </references>
      </pivotArea>
    </format>
    <format dxfId="4781">
      <pivotArea dataOnly="0" labelOnly="1" outline="0" fieldPosition="0">
        <references count="2">
          <reference field="4294967294" count="8">
            <x v="0"/>
            <x v="1"/>
            <x v="2"/>
            <x v="3"/>
            <x v="4"/>
            <x v="5"/>
            <x v="6"/>
            <x v="7"/>
          </reference>
          <reference field="0" count="1" selected="0">
            <x v="13"/>
          </reference>
        </references>
      </pivotArea>
    </format>
    <format dxfId="4780">
      <pivotArea dataOnly="0" labelOnly="1" outline="0" fieldPosition="0">
        <references count="2">
          <reference field="4294967294" count="8">
            <x v="0"/>
            <x v="1"/>
            <x v="2"/>
            <x v="3"/>
            <x v="4"/>
            <x v="5"/>
            <x v="6"/>
            <x v="7"/>
          </reference>
          <reference field="0" count="1" selected="0">
            <x v="15"/>
          </reference>
        </references>
      </pivotArea>
    </format>
    <format dxfId="4779">
      <pivotArea outline="0" fieldPosition="0"/>
    </format>
    <format dxfId="4778">
      <pivotArea field="-2" type="button" dataOnly="0" labelOnly="1" outline="0" axis="axisRow" fieldPosition="1"/>
    </format>
    <format dxfId="4777">
      <pivotArea field="4" type="button" dataOnly="0" labelOnly="1" outline="0" axis="axisCol" fieldPosition="1"/>
    </format>
    <format dxfId="4776">
      <pivotArea type="topRight" dataOnly="0" labelOnly="1" outline="0" fieldPosition="0"/>
    </format>
    <format dxfId="4775">
      <pivotArea dataOnly="0" labelOnly="1" outline="0" fieldPosition="0">
        <references count="2">
          <reference field="4294967294" count="8">
            <x v="0"/>
            <x v="1"/>
            <x v="2"/>
            <x v="3"/>
            <x v="4"/>
            <x v="5"/>
            <x v="6"/>
            <x v="7"/>
          </reference>
          <reference field="0" count="1" selected="0">
            <x v="0"/>
          </reference>
        </references>
      </pivotArea>
    </format>
    <format dxfId="4774">
      <pivotArea dataOnly="0" labelOnly="1" outline="0" fieldPosition="0">
        <references count="2">
          <reference field="4294967294" count="8">
            <x v="0"/>
            <x v="1"/>
            <x v="2"/>
            <x v="3"/>
            <x v="4"/>
            <x v="5"/>
            <x v="6"/>
            <x v="7"/>
          </reference>
          <reference field="0" count="1" selected="0">
            <x v="1"/>
          </reference>
        </references>
      </pivotArea>
    </format>
    <format dxfId="4773">
      <pivotArea dataOnly="0" labelOnly="1" outline="0" fieldPosition="0">
        <references count="2">
          <reference field="4294967294" count="8">
            <x v="0"/>
            <x v="1"/>
            <x v="2"/>
            <x v="3"/>
            <x v="4"/>
            <x v="5"/>
            <x v="6"/>
            <x v="7"/>
          </reference>
          <reference field="0" count="1" selected="0">
            <x v="3"/>
          </reference>
        </references>
      </pivotArea>
    </format>
    <format dxfId="4772">
      <pivotArea dataOnly="0" labelOnly="1" outline="0" fieldPosition="0">
        <references count="2">
          <reference field="4294967294" count="8">
            <x v="0"/>
            <x v="1"/>
            <x v="2"/>
            <x v="3"/>
            <x v="4"/>
            <x v="5"/>
            <x v="6"/>
            <x v="7"/>
          </reference>
          <reference field="0" count="1" selected="0">
            <x v="4"/>
          </reference>
        </references>
      </pivotArea>
    </format>
    <format dxfId="4771">
      <pivotArea dataOnly="0" labelOnly="1" outline="0" fieldPosition="0">
        <references count="2">
          <reference field="4294967294" count="8">
            <x v="0"/>
            <x v="1"/>
            <x v="2"/>
            <x v="3"/>
            <x v="4"/>
            <x v="5"/>
            <x v="6"/>
            <x v="7"/>
          </reference>
          <reference field="0" count="1" selected="0">
            <x v="5"/>
          </reference>
        </references>
      </pivotArea>
    </format>
    <format dxfId="4770">
      <pivotArea dataOnly="0" labelOnly="1" outline="0" fieldPosition="0">
        <references count="2">
          <reference field="4294967294" count="8">
            <x v="0"/>
            <x v="1"/>
            <x v="2"/>
            <x v="3"/>
            <x v="4"/>
            <x v="5"/>
            <x v="6"/>
            <x v="7"/>
          </reference>
          <reference field="0" count="1" selected="0">
            <x v="7"/>
          </reference>
        </references>
      </pivotArea>
    </format>
    <format dxfId="4769">
      <pivotArea dataOnly="0" labelOnly="1" outline="0" fieldPosition="0">
        <references count="2">
          <reference field="4294967294" count="8">
            <x v="0"/>
            <x v="1"/>
            <x v="2"/>
            <x v="3"/>
            <x v="4"/>
            <x v="5"/>
            <x v="6"/>
            <x v="7"/>
          </reference>
          <reference field="0" count="1" selected="0">
            <x v="8"/>
          </reference>
        </references>
      </pivotArea>
    </format>
    <format dxfId="4768">
      <pivotArea dataOnly="0" labelOnly="1" outline="0" fieldPosition="0">
        <references count="2">
          <reference field="4294967294" count="8">
            <x v="0"/>
            <x v="1"/>
            <x v="2"/>
            <x v="3"/>
            <x v="4"/>
            <x v="5"/>
            <x v="6"/>
            <x v="7"/>
          </reference>
          <reference field="0" count="1" selected="0">
            <x v="9"/>
          </reference>
        </references>
      </pivotArea>
    </format>
    <format dxfId="4767">
      <pivotArea dataOnly="0" labelOnly="1" outline="0" fieldPosition="0">
        <references count="2">
          <reference field="4294967294" count="8">
            <x v="0"/>
            <x v="1"/>
            <x v="2"/>
            <x v="3"/>
            <x v="4"/>
            <x v="5"/>
            <x v="6"/>
            <x v="7"/>
          </reference>
          <reference field="0" count="1" selected="0">
            <x v="10"/>
          </reference>
        </references>
      </pivotArea>
    </format>
    <format dxfId="4766">
      <pivotArea dataOnly="0" labelOnly="1" outline="0" fieldPosition="0">
        <references count="2">
          <reference field="4294967294" count="8">
            <x v="0"/>
            <x v="1"/>
            <x v="2"/>
            <x v="3"/>
            <x v="4"/>
            <x v="5"/>
            <x v="6"/>
            <x v="7"/>
          </reference>
          <reference field="0" count="1" selected="0">
            <x v="11"/>
          </reference>
        </references>
      </pivotArea>
    </format>
    <format dxfId="4765">
      <pivotArea dataOnly="0" labelOnly="1" outline="0" fieldPosition="0">
        <references count="2">
          <reference field="4294967294" count="8">
            <x v="0"/>
            <x v="1"/>
            <x v="2"/>
            <x v="3"/>
            <x v="4"/>
            <x v="5"/>
            <x v="6"/>
            <x v="7"/>
          </reference>
          <reference field="0" count="1" selected="0">
            <x v="12"/>
          </reference>
        </references>
      </pivotArea>
    </format>
    <format dxfId="4764">
      <pivotArea dataOnly="0" labelOnly="1" outline="0" fieldPosition="0">
        <references count="2">
          <reference field="4294967294" count="8">
            <x v="0"/>
            <x v="1"/>
            <x v="2"/>
            <x v="3"/>
            <x v="4"/>
            <x v="5"/>
            <x v="6"/>
            <x v="7"/>
          </reference>
          <reference field="0" count="1" selected="0">
            <x v="13"/>
          </reference>
        </references>
      </pivotArea>
    </format>
    <format dxfId="4763">
      <pivotArea dataOnly="0" labelOnly="1" outline="0" fieldPosition="0">
        <references count="2">
          <reference field="4294967294" count="8">
            <x v="0"/>
            <x v="1"/>
            <x v="2"/>
            <x v="3"/>
            <x v="4"/>
            <x v="5"/>
            <x v="6"/>
            <x v="7"/>
          </reference>
          <reference field="0" count="1" selected="0">
            <x v="15"/>
          </reference>
        </references>
      </pivotArea>
    </format>
    <format dxfId="4762">
      <pivotArea type="all" dataOnly="0" outline="0" fieldPosition="0"/>
    </format>
    <format dxfId="4761">
      <pivotArea type="all" dataOnly="0" outline="0" fieldPosition="0"/>
    </format>
    <format dxfId="4760">
      <pivotArea outline="0" fieldPosition="0"/>
    </format>
    <format dxfId="4759">
      <pivotArea dataOnly="0" labelOnly="1" outline="0" fieldPosition="0">
        <references count="1">
          <reference field="0" count="0"/>
        </references>
      </pivotArea>
    </format>
    <format dxfId="4758">
      <pivotArea dataOnly="0" labelOnly="1" outline="0" fieldPosition="0">
        <references count="2">
          <reference field="4294967294" count="8">
            <x v="0"/>
            <x v="1"/>
            <x v="2"/>
            <x v="3"/>
            <x v="4"/>
            <x v="5"/>
            <x v="6"/>
            <x v="7"/>
          </reference>
          <reference field="0" count="1" selected="0">
            <x v="0"/>
          </reference>
        </references>
      </pivotArea>
    </format>
    <format dxfId="4757">
      <pivotArea dataOnly="0" labelOnly="1" outline="0" fieldPosition="0">
        <references count="2">
          <reference field="4294967294" count="8">
            <x v="0"/>
            <x v="1"/>
            <x v="2"/>
            <x v="3"/>
            <x v="4"/>
            <x v="5"/>
            <x v="6"/>
            <x v="7"/>
          </reference>
          <reference field="0" count="1" selected="0">
            <x v="1"/>
          </reference>
        </references>
      </pivotArea>
    </format>
    <format dxfId="4756">
      <pivotArea dataOnly="0" labelOnly="1" outline="0" fieldPosition="0">
        <references count="2">
          <reference field="4294967294" count="8">
            <x v="0"/>
            <x v="1"/>
            <x v="2"/>
            <x v="3"/>
            <x v="4"/>
            <x v="5"/>
            <x v="6"/>
            <x v="7"/>
          </reference>
          <reference field="0" count="1" selected="0">
            <x v="2"/>
          </reference>
        </references>
      </pivotArea>
    </format>
    <format dxfId="4755">
      <pivotArea dataOnly="0" labelOnly="1" outline="0" fieldPosition="0">
        <references count="2">
          <reference field="4294967294" count="8">
            <x v="0"/>
            <x v="1"/>
            <x v="2"/>
            <x v="3"/>
            <x v="4"/>
            <x v="5"/>
            <x v="6"/>
            <x v="7"/>
          </reference>
          <reference field="0" count="1" selected="0">
            <x v="3"/>
          </reference>
        </references>
      </pivotArea>
    </format>
    <format dxfId="4754">
      <pivotArea dataOnly="0" labelOnly="1" outline="0" fieldPosition="0">
        <references count="2">
          <reference field="4294967294" count="8">
            <x v="0"/>
            <x v="1"/>
            <x v="2"/>
            <x v="3"/>
            <x v="4"/>
            <x v="5"/>
            <x v="6"/>
            <x v="7"/>
          </reference>
          <reference field="0" count="1" selected="0">
            <x v="4"/>
          </reference>
        </references>
      </pivotArea>
    </format>
    <format dxfId="4753">
      <pivotArea dataOnly="0" labelOnly="1" outline="0" fieldPosition="0">
        <references count="2">
          <reference field="4294967294" count="8">
            <x v="0"/>
            <x v="1"/>
            <x v="2"/>
            <x v="3"/>
            <x v="4"/>
            <x v="5"/>
            <x v="6"/>
            <x v="7"/>
          </reference>
          <reference field="0" count="1" selected="0">
            <x v="5"/>
          </reference>
        </references>
      </pivotArea>
    </format>
    <format dxfId="4752">
      <pivotArea dataOnly="0" labelOnly="1" outline="0" fieldPosition="0">
        <references count="2">
          <reference field="4294967294" count="8">
            <x v="0"/>
            <x v="1"/>
            <x v="2"/>
            <x v="3"/>
            <x v="4"/>
            <x v="5"/>
            <x v="6"/>
            <x v="7"/>
          </reference>
          <reference field="0" count="1" selected="0">
            <x v="6"/>
          </reference>
        </references>
      </pivotArea>
    </format>
    <format dxfId="4751">
      <pivotArea dataOnly="0" labelOnly="1" outline="0" fieldPosition="0">
        <references count="2">
          <reference field="4294967294" count="8">
            <x v="0"/>
            <x v="1"/>
            <x v="2"/>
            <x v="3"/>
            <x v="4"/>
            <x v="5"/>
            <x v="6"/>
            <x v="7"/>
          </reference>
          <reference field="0" count="1" selected="0">
            <x v="7"/>
          </reference>
        </references>
      </pivotArea>
    </format>
    <format dxfId="4750">
      <pivotArea dataOnly="0" labelOnly="1" outline="0" fieldPosition="0">
        <references count="2">
          <reference field="4294967294" count="8">
            <x v="0"/>
            <x v="1"/>
            <x v="2"/>
            <x v="3"/>
            <x v="4"/>
            <x v="5"/>
            <x v="6"/>
            <x v="7"/>
          </reference>
          <reference field="0" count="1" selected="0">
            <x v="8"/>
          </reference>
        </references>
      </pivotArea>
    </format>
    <format dxfId="4749">
      <pivotArea dataOnly="0" labelOnly="1" outline="0" fieldPosition="0">
        <references count="2">
          <reference field="4294967294" count="8">
            <x v="0"/>
            <x v="1"/>
            <x v="2"/>
            <x v="3"/>
            <x v="4"/>
            <x v="5"/>
            <x v="6"/>
            <x v="7"/>
          </reference>
          <reference field="0" count="1" selected="0">
            <x v="9"/>
          </reference>
        </references>
      </pivotArea>
    </format>
    <format dxfId="4748">
      <pivotArea dataOnly="0" labelOnly="1" outline="0" fieldPosition="0">
        <references count="2">
          <reference field="4294967294" count="8">
            <x v="0"/>
            <x v="1"/>
            <x v="2"/>
            <x v="3"/>
            <x v="4"/>
            <x v="5"/>
            <x v="6"/>
            <x v="7"/>
          </reference>
          <reference field="0" count="1" selected="0">
            <x v="10"/>
          </reference>
        </references>
      </pivotArea>
    </format>
    <format dxfId="4747">
      <pivotArea dataOnly="0" labelOnly="1" outline="0" fieldPosition="0">
        <references count="2">
          <reference field="4294967294" count="8">
            <x v="0"/>
            <x v="1"/>
            <x v="2"/>
            <x v="3"/>
            <x v="4"/>
            <x v="5"/>
            <x v="6"/>
            <x v="7"/>
          </reference>
          <reference field="0" count="1" selected="0">
            <x v="11"/>
          </reference>
        </references>
      </pivotArea>
    </format>
    <format dxfId="4746">
      <pivotArea dataOnly="0" labelOnly="1" outline="0" fieldPosition="0">
        <references count="2">
          <reference field="4294967294" count="8">
            <x v="0"/>
            <x v="1"/>
            <x v="2"/>
            <x v="3"/>
            <x v="4"/>
            <x v="5"/>
            <x v="6"/>
            <x v="7"/>
          </reference>
          <reference field="0" count="1" selected="0">
            <x v="12"/>
          </reference>
        </references>
      </pivotArea>
    </format>
    <format dxfId="4745">
      <pivotArea dataOnly="0" labelOnly="1" outline="0" fieldPosition="0">
        <references count="2">
          <reference field="4294967294" count="8">
            <x v="0"/>
            <x v="1"/>
            <x v="2"/>
            <x v="3"/>
            <x v="4"/>
            <x v="5"/>
            <x v="6"/>
            <x v="7"/>
          </reference>
          <reference field="0" count="1" selected="0">
            <x v="13"/>
          </reference>
        </references>
      </pivotArea>
    </format>
    <format dxfId="4744">
      <pivotArea dataOnly="0" labelOnly="1" outline="0" fieldPosition="0">
        <references count="2">
          <reference field="4294967294" count="8">
            <x v="0"/>
            <x v="1"/>
            <x v="2"/>
            <x v="3"/>
            <x v="4"/>
            <x v="5"/>
            <x v="6"/>
            <x v="7"/>
          </reference>
          <reference field="0" count="1" selected="0">
            <x v="14"/>
          </reference>
        </references>
      </pivotArea>
    </format>
    <format dxfId="4743">
      <pivotArea dataOnly="0" labelOnly="1" outline="0" fieldPosition="0">
        <references count="2">
          <reference field="4294967294" count="8">
            <x v="0"/>
            <x v="1"/>
            <x v="2"/>
            <x v="3"/>
            <x v="4"/>
            <x v="5"/>
            <x v="6"/>
            <x v="7"/>
          </reference>
          <reference field="0" count="1" selected="0">
            <x v="15"/>
          </reference>
        </references>
      </pivotArea>
    </format>
    <format dxfId="4742">
      <pivotArea outline="0" fieldPosition="0"/>
    </format>
    <format dxfId="4741">
      <pivotArea dataOnly="0" labelOnly="1" outline="0" fieldPosition="0">
        <references count="1">
          <reference field="0" count="0"/>
        </references>
      </pivotArea>
    </format>
    <format dxfId="4740">
      <pivotArea dataOnly="0" labelOnly="1" outline="0" fieldPosition="0">
        <references count="2">
          <reference field="4294967294" count="8">
            <x v="0"/>
            <x v="1"/>
            <x v="2"/>
            <x v="3"/>
            <x v="4"/>
            <x v="5"/>
            <x v="6"/>
            <x v="7"/>
          </reference>
          <reference field="0" count="1" selected="0">
            <x v="0"/>
          </reference>
        </references>
      </pivotArea>
    </format>
    <format dxfId="4739">
      <pivotArea dataOnly="0" labelOnly="1" outline="0" fieldPosition="0">
        <references count="2">
          <reference field="4294967294" count="8">
            <x v="0"/>
            <x v="1"/>
            <x v="2"/>
            <x v="3"/>
            <x v="4"/>
            <x v="5"/>
            <x v="6"/>
            <x v="7"/>
          </reference>
          <reference field="0" count="1" selected="0">
            <x v="1"/>
          </reference>
        </references>
      </pivotArea>
    </format>
    <format dxfId="4738">
      <pivotArea dataOnly="0" labelOnly="1" outline="0" fieldPosition="0">
        <references count="2">
          <reference field="4294967294" count="8">
            <x v="0"/>
            <x v="1"/>
            <x v="2"/>
            <x v="3"/>
            <x v="4"/>
            <x v="5"/>
            <x v="6"/>
            <x v="7"/>
          </reference>
          <reference field="0" count="1" selected="0">
            <x v="2"/>
          </reference>
        </references>
      </pivotArea>
    </format>
    <format dxfId="4737">
      <pivotArea dataOnly="0" labelOnly="1" outline="0" fieldPosition="0">
        <references count="2">
          <reference field="4294967294" count="8">
            <x v="0"/>
            <x v="1"/>
            <x v="2"/>
            <x v="3"/>
            <x v="4"/>
            <x v="5"/>
            <x v="6"/>
            <x v="7"/>
          </reference>
          <reference field="0" count="1" selected="0">
            <x v="3"/>
          </reference>
        </references>
      </pivotArea>
    </format>
    <format dxfId="4736">
      <pivotArea dataOnly="0" labelOnly="1" outline="0" fieldPosition="0">
        <references count="2">
          <reference field="4294967294" count="8">
            <x v="0"/>
            <x v="1"/>
            <x v="2"/>
            <x v="3"/>
            <x v="4"/>
            <x v="5"/>
            <x v="6"/>
            <x v="7"/>
          </reference>
          <reference field="0" count="1" selected="0">
            <x v="4"/>
          </reference>
        </references>
      </pivotArea>
    </format>
    <format dxfId="4735">
      <pivotArea dataOnly="0" labelOnly="1" outline="0" fieldPosition="0">
        <references count="2">
          <reference field="4294967294" count="8">
            <x v="0"/>
            <x v="1"/>
            <x v="2"/>
            <x v="3"/>
            <x v="4"/>
            <x v="5"/>
            <x v="6"/>
            <x v="7"/>
          </reference>
          <reference field="0" count="1" selected="0">
            <x v="5"/>
          </reference>
        </references>
      </pivotArea>
    </format>
    <format dxfId="4734">
      <pivotArea dataOnly="0" labelOnly="1" outline="0" fieldPosition="0">
        <references count="2">
          <reference field="4294967294" count="8">
            <x v="0"/>
            <x v="1"/>
            <x v="2"/>
            <x v="3"/>
            <x v="4"/>
            <x v="5"/>
            <x v="6"/>
            <x v="7"/>
          </reference>
          <reference field="0" count="1" selected="0">
            <x v="6"/>
          </reference>
        </references>
      </pivotArea>
    </format>
    <format dxfId="4733">
      <pivotArea dataOnly="0" labelOnly="1" outline="0" fieldPosition="0">
        <references count="2">
          <reference field="4294967294" count="8">
            <x v="0"/>
            <x v="1"/>
            <x v="2"/>
            <x v="3"/>
            <x v="4"/>
            <x v="5"/>
            <x v="6"/>
            <x v="7"/>
          </reference>
          <reference field="0" count="1" selected="0">
            <x v="7"/>
          </reference>
        </references>
      </pivotArea>
    </format>
    <format dxfId="4732">
      <pivotArea dataOnly="0" labelOnly="1" outline="0" fieldPosition="0">
        <references count="2">
          <reference field="4294967294" count="8">
            <x v="0"/>
            <x v="1"/>
            <x v="2"/>
            <x v="3"/>
            <x v="4"/>
            <x v="5"/>
            <x v="6"/>
            <x v="7"/>
          </reference>
          <reference field="0" count="1" selected="0">
            <x v="8"/>
          </reference>
        </references>
      </pivotArea>
    </format>
    <format dxfId="4731">
      <pivotArea dataOnly="0" labelOnly="1" outline="0" fieldPosition="0">
        <references count="2">
          <reference field="4294967294" count="8">
            <x v="0"/>
            <x v="1"/>
            <x v="2"/>
            <x v="3"/>
            <x v="4"/>
            <x v="5"/>
            <x v="6"/>
            <x v="7"/>
          </reference>
          <reference field="0" count="1" selected="0">
            <x v="9"/>
          </reference>
        </references>
      </pivotArea>
    </format>
    <format dxfId="4730">
      <pivotArea dataOnly="0" labelOnly="1" outline="0" fieldPosition="0">
        <references count="2">
          <reference field="4294967294" count="8">
            <x v="0"/>
            <x v="1"/>
            <x v="2"/>
            <x v="3"/>
            <x v="4"/>
            <x v="5"/>
            <x v="6"/>
            <x v="7"/>
          </reference>
          <reference field="0" count="1" selected="0">
            <x v="10"/>
          </reference>
        </references>
      </pivotArea>
    </format>
    <format dxfId="4729">
      <pivotArea dataOnly="0" labelOnly="1" outline="0" fieldPosition="0">
        <references count="2">
          <reference field="4294967294" count="8">
            <x v="0"/>
            <x v="1"/>
            <x v="2"/>
            <x v="3"/>
            <x v="4"/>
            <x v="5"/>
            <x v="6"/>
            <x v="7"/>
          </reference>
          <reference field="0" count="1" selected="0">
            <x v="11"/>
          </reference>
        </references>
      </pivotArea>
    </format>
    <format dxfId="4728">
      <pivotArea dataOnly="0" labelOnly="1" outline="0" fieldPosition="0">
        <references count="2">
          <reference field="4294967294" count="8">
            <x v="0"/>
            <x v="1"/>
            <x v="2"/>
            <x v="3"/>
            <x v="4"/>
            <x v="5"/>
            <x v="6"/>
            <x v="7"/>
          </reference>
          <reference field="0" count="1" selected="0">
            <x v="12"/>
          </reference>
        </references>
      </pivotArea>
    </format>
    <format dxfId="4727">
      <pivotArea dataOnly="0" labelOnly="1" outline="0" fieldPosition="0">
        <references count="2">
          <reference field="4294967294" count="8">
            <x v="0"/>
            <x v="1"/>
            <x v="2"/>
            <x v="3"/>
            <x v="4"/>
            <x v="5"/>
            <x v="6"/>
            <x v="7"/>
          </reference>
          <reference field="0" count="1" selected="0">
            <x v="13"/>
          </reference>
        </references>
      </pivotArea>
    </format>
    <format dxfId="4726">
      <pivotArea dataOnly="0" labelOnly="1" outline="0" fieldPosition="0">
        <references count="2">
          <reference field="4294967294" count="8">
            <x v="0"/>
            <x v="1"/>
            <x v="2"/>
            <x v="3"/>
            <x v="4"/>
            <x v="5"/>
            <x v="6"/>
            <x v="7"/>
          </reference>
          <reference field="0" count="1" selected="0">
            <x v="14"/>
          </reference>
        </references>
      </pivotArea>
    </format>
    <format dxfId="4725">
      <pivotArea dataOnly="0" labelOnly="1" outline="0" fieldPosition="0">
        <references count="2">
          <reference field="4294967294" count="8">
            <x v="0"/>
            <x v="1"/>
            <x v="2"/>
            <x v="3"/>
            <x v="4"/>
            <x v="5"/>
            <x v="6"/>
            <x v="7"/>
          </reference>
          <reference field="0" count="1" selected="0">
            <x v="15"/>
          </reference>
        </references>
      </pivotArea>
    </format>
    <format dxfId="4724">
      <pivotArea field="0" type="button" dataOnly="0" labelOnly="1" outline="0" axis="axisRow" fieldPosition="0"/>
    </format>
    <format dxfId="4723">
      <pivotArea field="-2" type="button" dataOnly="0" labelOnly="1" outline="0" axis="axisRow" fieldPosition="1"/>
    </format>
    <format dxfId="4722">
      <pivotArea outline="0" fieldPosition="0">
        <references count="2">
          <reference field="4294967294" count="1" selected="0">
            <x v="7"/>
          </reference>
          <reference field="0" count="1" selected="0">
            <x v="0"/>
          </reference>
        </references>
      </pivotArea>
    </format>
    <format dxfId="4721">
      <pivotArea dataOnly="0" labelOnly="1" outline="0" offset="IV256" fieldPosition="0">
        <references count="1">
          <reference field="0" count="1">
            <x v="0"/>
          </reference>
        </references>
      </pivotArea>
    </format>
    <format dxfId="4720">
      <pivotArea dataOnly="0" labelOnly="1" outline="0" fieldPosition="0">
        <references count="2">
          <reference field="4294967294" count="1">
            <x v="7"/>
          </reference>
          <reference field="0" count="1" selected="0">
            <x v="0"/>
          </reference>
        </references>
      </pivotArea>
    </format>
    <format dxfId="4719">
      <pivotArea outline="0" fieldPosition="0">
        <references count="2">
          <reference field="4294967294" count="1" selected="0">
            <x v="1"/>
          </reference>
          <reference field="0" count="1" selected="0">
            <x v="0"/>
          </reference>
        </references>
      </pivotArea>
    </format>
    <format dxfId="4718">
      <pivotArea dataOnly="0" labelOnly="1" outline="0" fieldPosition="0">
        <references count="2">
          <reference field="4294967294" count="1">
            <x v="1"/>
          </reference>
          <reference field="0" count="1" selected="0">
            <x v="0"/>
          </reference>
        </references>
      </pivotArea>
    </format>
    <format dxfId="4717">
      <pivotArea outline="0" fieldPosition="0">
        <references count="2">
          <reference field="4294967294" count="1" selected="0">
            <x v="3"/>
          </reference>
          <reference field="0" count="1" selected="0">
            <x v="0"/>
          </reference>
        </references>
      </pivotArea>
    </format>
    <format dxfId="4716">
      <pivotArea dataOnly="0" labelOnly="1" outline="0" fieldPosition="0">
        <references count="2">
          <reference field="4294967294" count="1">
            <x v="3"/>
          </reference>
          <reference field="0" count="1" selected="0">
            <x v="0"/>
          </reference>
        </references>
      </pivotArea>
    </format>
    <format dxfId="4715">
      <pivotArea outline="0" fieldPosition="0">
        <references count="2">
          <reference field="4294967294" count="1" selected="0">
            <x v="5"/>
          </reference>
          <reference field="0" count="1" selected="0">
            <x v="0"/>
          </reference>
        </references>
      </pivotArea>
    </format>
    <format dxfId="4714">
      <pivotArea dataOnly="0" labelOnly="1" outline="0" fieldPosition="0">
        <references count="2">
          <reference field="4294967294" count="1">
            <x v="5"/>
          </reference>
          <reference field="0" count="1" selected="0">
            <x v="0"/>
          </reference>
        </references>
      </pivotArea>
    </format>
    <format dxfId="4713">
      <pivotArea type="topRight" dataOnly="0" labelOnly="1" outline="0" offset="F1" fieldPosition="0"/>
    </format>
    <format dxfId="4712">
      <pivotArea outline="0" fieldPosition="0">
        <references count="2">
          <reference field="4" count="1" selected="0">
            <x v="13"/>
          </reference>
          <reference field="70" count="1" selected="0">
            <x v="3"/>
          </reference>
        </references>
      </pivotArea>
    </format>
    <format dxfId="4711">
      <pivotArea type="topRight" dataOnly="0" labelOnly="1" outline="0" offset="K1" fieldPosition="0"/>
    </format>
    <format dxfId="4710">
      <pivotArea dataOnly="0" labelOnly="1" outline="0" offset="IV256" fieldPosition="0">
        <references count="1">
          <reference field="70" count="1">
            <x v="3"/>
          </reference>
        </references>
      </pivotArea>
    </format>
    <format dxfId="4709">
      <pivotArea dataOnly="0" labelOnly="1" outline="0" fieldPosition="0">
        <references count="2">
          <reference field="4" count="1">
            <x v="13"/>
          </reference>
          <reference field="70" count="1" selected="0">
            <x v="3"/>
          </reference>
        </references>
      </pivotArea>
    </format>
    <format dxfId="4708">
      <pivotArea outline="0" fieldPosition="0">
        <references count="2">
          <reference field="4" count="1" selected="0">
            <x v="15"/>
          </reference>
          <reference field="70" count="1" selected="0">
            <x v="4"/>
          </reference>
        </references>
      </pivotArea>
    </format>
    <format dxfId="4707">
      <pivotArea type="topRight" dataOnly="0" labelOnly="1" outline="0" offset="N1" fieldPosition="0"/>
    </format>
    <format dxfId="4706">
      <pivotArea dataOnly="0" labelOnly="1" outline="0" offset="IV256" fieldPosition="0">
        <references count="1">
          <reference field="70" count="1">
            <x v="4"/>
          </reference>
        </references>
      </pivotArea>
    </format>
    <format dxfId="4705">
      <pivotArea dataOnly="0" labelOnly="1" outline="0" fieldPosition="0">
        <references count="2">
          <reference field="4" count="1">
            <x v="15"/>
          </reference>
          <reference field="70" count="1" selected="0">
            <x v="4"/>
          </reference>
        </references>
      </pivotArea>
    </format>
    <format dxfId="4704">
      <pivotArea outline="0" fieldPosition="0">
        <references count="4">
          <reference field="4294967294" count="1" selected="0">
            <x v="2"/>
          </reference>
          <reference field="0" count="1" selected="0">
            <x v="11"/>
          </reference>
          <reference field="4" count="1" selected="0">
            <x v="2"/>
          </reference>
          <reference field="7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ype13gr5_3" connectionId="21" xr16:uid="{2F3AEC3B-9221-4736-9249-93A5109CC028}"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Type13ug3_2" connectionId="27" xr16:uid="{D76295D9-DAA5-4B93-87BC-0AA88A0613C1}"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Type13ug2_2" connectionId="25" xr16:uid="{59AA97FB-5029-4FF3-8F78-51632F0C2943}"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Type13gr4_2" connectionId="19" xr16:uid="{D7CB0326-D2C7-4ECF-8433-BDD021E72B78}"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Type13ug5_2" connectionId="31" xr16:uid="{21D92B78-93E6-4B1D-B995-7310D3BB1588}"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Type13gr1_2" connectionId="13" xr16:uid="{D7AE5399-AFF8-445C-9005-397AEB757B8E}"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Type13gr2_2" connectionId="15" xr16:uid="{F568B3D1-E7A9-4E4E-8B8B-4516A167D636}"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Type13ug1_2" connectionId="23" xr16:uid="{062D269B-97AA-4973-8793-DB3D6F9E3452}"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Type13gr3_2" connectionId="17" xr16:uid="{5F762C00-03FC-4FF7-A8FC-76DDD2D2A10E}"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Type13ug4_2" connectionId="29" xr16:uid="{255A6CBA-FE78-4D20-A80D-D90C1CC4F1DB}"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Type13gr3_1" connectionId="16" xr16:uid="{00000000-0016-0000-0000-000002000000}"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Type13gr5_2" connectionId="20" xr16:uid="{00000000-0016-0000-0000-000009000000}"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Type13ug2_1" connectionId="24" xr16:uid="{00000000-0016-0000-0000-000006000000}"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Type13gr4_1" connectionId="18" xr16:uid="{00000000-0016-0000-0000-000005000000}"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Type13ug4_1" connectionId="28" xr16:uid="{00000000-0016-0000-0000-000008000000}"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Type13ug1_1" connectionId="22" xr16:uid="{00000000-0016-0000-0000-000003000000}"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Type13ug3_1" connectionId="26" xr16:uid="{00000000-0016-0000-0000-000000000000}"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Type13gr1_1" connectionId="12" xr16:uid="{00000000-0016-0000-0000-000001000000}"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Type13gr2_1" connectionId="14" xr16:uid="{00000000-0016-0000-0000-000004000000}"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Type13ug5_1" connectionId="30" xr16:uid="{00000000-0016-0000-0000-000007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7.xml"/><Relationship Id="rId13" Type="http://schemas.openxmlformats.org/officeDocument/2006/relationships/queryTable" Target="../queryTables/queryTable12.xml"/><Relationship Id="rId18" Type="http://schemas.openxmlformats.org/officeDocument/2006/relationships/queryTable" Target="../queryTables/queryTable17.xml"/><Relationship Id="rId3" Type="http://schemas.openxmlformats.org/officeDocument/2006/relationships/queryTable" Target="../queryTables/queryTable2.xml"/><Relationship Id="rId21" Type="http://schemas.openxmlformats.org/officeDocument/2006/relationships/queryTable" Target="../queryTables/queryTable20.xml"/><Relationship Id="rId7" Type="http://schemas.openxmlformats.org/officeDocument/2006/relationships/queryTable" Target="../queryTables/queryTable6.xml"/><Relationship Id="rId12" Type="http://schemas.openxmlformats.org/officeDocument/2006/relationships/queryTable" Target="../queryTables/queryTable11.xml"/><Relationship Id="rId17" Type="http://schemas.openxmlformats.org/officeDocument/2006/relationships/queryTable" Target="../queryTables/queryTable16.xml"/><Relationship Id="rId2" Type="http://schemas.openxmlformats.org/officeDocument/2006/relationships/queryTable" Target="../queryTables/queryTable1.xml"/><Relationship Id="rId16" Type="http://schemas.openxmlformats.org/officeDocument/2006/relationships/queryTable" Target="../queryTables/queryTable15.xml"/><Relationship Id="rId20" Type="http://schemas.openxmlformats.org/officeDocument/2006/relationships/queryTable" Target="../queryTables/queryTable19.xml"/><Relationship Id="rId1" Type="http://schemas.openxmlformats.org/officeDocument/2006/relationships/vmlDrawing" Target="../drawings/vmlDrawing4.v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5" Type="http://schemas.openxmlformats.org/officeDocument/2006/relationships/queryTable" Target="../queryTables/queryTable14.xml"/><Relationship Id="rId10" Type="http://schemas.openxmlformats.org/officeDocument/2006/relationships/queryTable" Target="../queryTables/queryTable9.xml"/><Relationship Id="rId19" Type="http://schemas.openxmlformats.org/officeDocument/2006/relationships/queryTable" Target="../queryTables/queryTable18.xml"/><Relationship Id="rId4" Type="http://schemas.openxmlformats.org/officeDocument/2006/relationships/queryTable" Target="../queryTables/queryTable3.xml"/><Relationship Id="rId9" Type="http://schemas.openxmlformats.org/officeDocument/2006/relationships/queryTable" Target="../queryTables/queryTable8.xml"/><Relationship Id="rId14" Type="http://schemas.openxmlformats.org/officeDocument/2006/relationships/queryTable" Target="../queryTables/queryTable13.xml"/><Relationship Id="rId22"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8C3-9555-4707-B53A-A5F3C171EA40}">
  <sheetPr>
    <tabColor rgb="FFC00000"/>
  </sheetPr>
  <dimension ref="A1:AN116"/>
  <sheetViews>
    <sheetView showZeros="0" tabSelected="1" view="pageBreakPreview" zoomScaleNormal="100" zoomScaleSheetLayoutView="100" workbookViewId="0">
      <selection activeCell="F6" sqref="F6"/>
    </sheetView>
  </sheetViews>
  <sheetFormatPr defaultRowHeight="15"/>
  <cols>
    <col min="1" max="1" width="9.88671875" style="174" customWidth="1"/>
    <col min="2" max="16" width="5.5546875" style="174" customWidth="1"/>
    <col min="17" max="23" width="8.88671875" style="174"/>
    <col min="24" max="24" width="10.33203125" style="174" customWidth="1"/>
    <col min="25" max="16384" width="8.88671875" style="174"/>
  </cols>
  <sheetData>
    <row r="1" spans="1:33" ht="18">
      <c r="A1" s="447" t="s">
        <v>906</v>
      </c>
      <c r="B1" s="447"/>
      <c r="C1" s="447"/>
      <c r="D1" s="447"/>
      <c r="E1" s="447"/>
      <c r="F1" s="447"/>
      <c r="G1" s="447"/>
      <c r="H1" s="447"/>
      <c r="I1" s="447"/>
      <c r="J1" s="447"/>
      <c r="K1" s="447"/>
      <c r="L1" s="447"/>
      <c r="M1" s="447"/>
      <c r="N1" s="447"/>
      <c r="O1" s="447"/>
      <c r="P1" s="447"/>
    </row>
    <row r="2" spans="1:33" s="298" customFormat="1" ht="12.75">
      <c r="A2" s="299"/>
      <c r="B2" s="295"/>
      <c r="C2" s="295"/>
      <c r="D2" s="295"/>
      <c r="E2" s="295"/>
      <c r="F2" s="295"/>
      <c r="G2" s="295"/>
      <c r="H2" s="295"/>
      <c r="I2" s="295"/>
      <c r="J2" s="295"/>
      <c r="K2" s="295"/>
      <c r="L2" s="295"/>
      <c r="M2" s="295"/>
      <c r="N2" s="295"/>
      <c r="O2" s="295"/>
      <c r="P2" s="295"/>
    </row>
    <row r="3" spans="1:33" ht="15.75">
      <c r="A3" s="301" t="s">
        <v>996</v>
      </c>
      <c r="B3" s="295"/>
      <c r="C3" s="295"/>
      <c r="D3" s="295"/>
      <c r="E3" s="295"/>
      <c r="F3" s="295"/>
      <c r="G3" s="389"/>
      <c r="H3" s="389"/>
      <c r="I3" s="389"/>
      <c r="J3" s="389"/>
      <c r="K3" s="389"/>
      <c r="L3" s="389"/>
      <c r="M3" s="389"/>
      <c r="N3" s="389"/>
      <c r="O3" s="389"/>
      <c r="P3" s="389"/>
    </row>
    <row r="4" spans="1:33">
      <c r="A4" s="432"/>
      <c r="B4" s="393"/>
      <c r="C4" s="393"/>
      <c r="D4" s="393"/>
      <c r="E4" s="393"/>
      <c r="F4" s="393"/>
      <c r="G4" s="393"/>
      <c r="H4" s="393"/>
      <c r="I4" s="393"/>
      <c r="J4" s="393"/>
      <c r="K4" s="393"/>
      <c r="L4" s="393"/>
    </row>
    <row r="5" spans="1:33" s="399" customFormat="1">
      <c r="A5" s="433"/>
      <c r="B5" s="448" t="s">
        <v>724</v>
      </c>
      <c r="C5" s="448"/>
      <c r="D5" s="448"/>
      <c r="E5" s="448"/>
      <c r="F5" s="448"/>
      <c r="G5" s="448"/>
      <c r="H5" s="449"/>
      <c r="I5" s="450" t="s">
        <v>727</v>
      </c>
      <c r="J5" s="448"/>
      <c r="K5" s="448"/>
      <c r="L5" s="448"/>
      <c r="M5" s="448"/>
      <c r="N5" s="321" t="s">
        <v>743</v>
      </c>
      <c r="O5" s="310"/>
      <c r="P5" s="310"/>
      <c r="R5" s="174"/>
      <c r="S5" s="174"/>
      <c r="T5" s="174"/>
      <c r="U5" s="174"/>
      <c r="V5" s="174"/>
      <c r="W5" s="174"/>
      <c r="X5" s="174"/>
      <c r="Y5" s="174"/>
      <c r="Z5" s="174"/>
      <c r="AA5" s="174"/>
      <c r="AB5" s="174"/>
      <c r="AC5" s="174"/>
      <c r="AD5" s="174"/>
      <c r="AE5" s="174"/>
      <c r="AF5" s="174"/>
      <c r="AG5" s="174"/>
    </row>
    <row r="6" spans="1:33" s="403" customFormat="1" ht="24.75">
      <c r="A6" s="434"/>
      <c r="B6" s="316">
        <v>1</v>
      </c>
      <c r="C6" s="316">
        <v>2</v>
      </c>
      <c r="D6" s="316">
        <v>3</v>
      </c>
      <c r="E6" s="316">
        <v>4</v>
      </c>
      <c r="F6" s="316">
        <v>5</v>
      </c>
      <c r="G6" s="316">
        <v>6</v>
      </c>
      <c r="H6" s="435" t="s">
        <v>920</v>
      </c>
      <c r="I6" s="436" t="s">
        <v>908</v>
      </c>
      <c r="J6" s="316">
        <v>1</v>
      </c>
      <c r="K6" s="316">
        <v>2</v>
      </c>
      <c r="L6" s="316">
        <v>3</v>
      </c>
      <c r="M6" s="315" t="s">
        <v>909</v>
      </c>
      <c r="N6" s="315">
        <v>1</v>
      </c>
      <c r="O6" s="316">
        <v>2</v>
      </c>
      <c r="P6" s="315" t="s">
        <v>909</v>
      </c>
      <c r="R6" s="174"/>
      <c r="S6" s="174"/>
      <c r="T6" s="174"/>
      <c r="U6" s="174"/>
      <c r="V6" s="174"/>
      <c r="W6" s="174"/>
      <c r="X6" s="174"/>
      <c r="Y6" s="174"/>
      <c r="Z6" s="174"/>
      <c r="AA6" s="174"/>
      <c r="AB6" s="174"/>
      <c r="AC6" s="174"/>
      <c r="AD6" s="174"/>
      <c r="AE6" s="174"/>
      <c r="AF6" s="174"/>
      <c r="AG6" s="174"/>
    </row>
    <row r="7" spans="1:33">
      <c r="A7" s="298" t="s">
        <v>825</v>
      </c>
      <c r="B7" s="404">
        <f>+'NEW...Tables 91-112'!B41+'NEW...Tables 91-112'!C41</f>
        <v>87.579506354944101</v>
      </c>
      <c r="C7" s="404">
        <f>+'NEW...Tables 91-112'!B72+'NEW...Tables 91-112'!C72</f>
        <v>87.597198040941493</v>
      </c>
      <c r="D7" s="404">
        <f>+'NEW...Tables 91-112'!B102+'NEW...Tables 91-112'!C102</f>
        <v>75.489111697539613</v>
      </c>
      <c r="E7" s="404">
        <f>+'NEW...Tables 91-112'!B133+'NEW...Tables 91-112'!C133</f>
        <v>80.340732005222591</v>
      </c>
      <c r="F7" s="404">
        <f>+'NEW...Tables 91-112'!B164+'NEW...Tables 91-112'!C164</f>
        <v>85.384110413731264</v>
      </c>
      <c r="G7" s="404">
        <f>+'NEW...Tables 91-112'!B194+'NEW...Tables 91-112'!C194</f>
        <v>19.046819167455642</v>
      </c>
      <c r="H7" s="409">
        <f>+'NEW...Tables 91-112'!B9+'NEW...Tables 91-112'!C9</f>
        <v>83.280541937103223</v>
      </c>
      <c r="I7" s="406">
        <f>+'NEW...Tables 91-112'!B256+'NEW...Tables 91-112'!C256</f>
        <v>0</v>
      </c>
      <c r="J7" s="404">
        <f>+'NEW...Tables 91-112'!B287+'NEW...Tables 91-112'!C287</f>
        <v>65.889496616297393</v>
      </c>
      <c r="K7" s="404">
        <f>+'NEW...Tables 91-112'!B318+'NEW...Tables 91-112'!C318</f>
        <v>78.105140798114959</v>
      </c>
      <c r="L7" s="404">
        <f>+'NEW...Tables 91-112'!B349+'NEW...Tables 91-112'!C349</f>
        <v>66.911832365045171</v>
      </c>
      <c r="M7" s="406">
        <f>+'NEW...Tables 91-112'!B225+'NEW...Tables 91-112'!C225</f>
        <v>73.391198900377617</v>
      </c>
      <c r="N7" s="407">
        <f>+'NEW...Tables 91-112'!B410+'NEW...Tables 91-112'!C410</f>
        <v>91.378036280422393</v>
      </c>
      <c r="O7" s="333">
        <f>+'NEW...Tables 91-112'!B440+'NEW...Tables 91-112'!C440</f>
        <v>90.732648128707794</v>
      </c>
      <c r="P7" s="406">
        <f>+'NEW...Tables 91-112'!B380+'NEW...Tables 91-112'!C380</f>
        <v>91.05919529139328</v>
      </c>
      <c r="Q7" s="298"/>
      <c r="R7" s="298"/>
      <c r="V7" s="298"/>
    </row>
    <row r="8" spans="1:33">
      <c r="A8" s="298" t="s">
        <v>826</v>
      </c>
      <c r="B8" s="404">
        <f>+'NEW...Tables 91-112'!B42+'NEW...Tables 91-112'!C42</f>
        <v>90.411489562745828</v>
      </c>
      <c r="C8" s="404">
        <f>+'NEW...Tables 91-112'!B73+'NEW...Tables 91-112'!C73</f>
        <v>64.355547274902435</v>
      </c>
      <c r="D8" s="404">
        <f>+'NEW...Tables 91-112'!B103+'NEW...Tables 91-112'!C103</f>
        <v>77.763319833935213</v>
      </c>
      <c r="E8" s="404">
        <f>+'NEW...Tables 91-112'!B134+'NEW...Tables 91-112'!C134</f>
        <v>80.186950248728493</v>
      </c>
      <c r="F8" s="404">
        <f>+'NEW...Tables 91-112'!B165+'NEW...Tables 91-112'!C165</f>
        <v>75.942533407855294</v>
      </c>
      <c r="G8" s="404">
        <f>+'NEW...Tables 91-112'!B195+'NEW...Tables 91-112'!C195</f>
        <v>76.916607053824976</v>
      </c>
      <c r="H8" s="409">
        <f>+'NEW...Tables 91-112'!B10+'NEW...Tables 91-112'!C10</f>
        <v>80.360858790516389</v>
      </c>
      <c r="I8" s="406">
        <f>+'NEW...Tables 91-112'!B257+'NEW...Tables 91-112'!C257</f>
        <v>0</v>
      </c>
      <c r="J8" s="404">
        <f>+'NEW...Tables 91-112'!B288+'NEW...Tables 91-112'!C288</f>
        <v>71.295448424454619</v>
      </c>
      <c r="K8" s="404">
        <f>+'NEW...Tables 91-112'!B319+'NEW...Tables 91-112'!C319</f>
        <v>68.871236284126695</v>
      </c>
      <c r="L8" s="404">
        <f>+'NEW...Tables 91-112'!B350+'NEW...Tables 91-112'!C350</f>
        <v>73.950582806380623</v>
      </c>
      <c r="M8" s="406">
        <f>+'NEW...Tables 91-112'!B226+'NEW...Tables 91-112'!C226</f>
        <v>72.468551736921484</v>
      </c>
      <c r="N8" s="407">
        <f>+'NEW...Tables 91-112'!B411+'NEW...Tables 91-112'!C411</f>
        <v>0</v>
      </c>
      <c r="O8" s="333">
        <f>+'NEW...Tables 91-112'!B441+'NEW...Tables 91-112'!C441</f>
        <v>0</v>
      </c>
      <c r="P8" s="406">
        <f>+'NEW...Tables 91-112'!B381+'NEW...Tables 91-112'!C381</f>
        <v>0</v>
      </c>
    </row>
    <row r="9" spans="1:33">
      <c r="A9" s="298" t="s">
        <v>827</v>
      </c>
      <c r="B9" s="404">
        <f>+'NEW...Tables 91-112'!B43+'NEW...Tables 91-112'!C43</f>
        <v>96.130673743340353</v>
      </c>
      <c r="C9" s="404">
        <f>+'NEW...Tables 91-112'!B74+'NEW...Tables 91-112'!C74</f>
        <v>0</v>
      </c>
      <c r="D9" s="404">
        <f>+'NEW...Tables 91-112'!B104+'NEW...Tables 91-112'!C104</f>
        <v>92.338077300775353</v>
      </c>
      <c r="E9" s="404">
        <f>+'NEW...Tables 91-112'!B135+'NEW...Tables 91-112'!C135</f>
        <v>0</v>
      </c>
      <c r="F9" s="404">
        <f>+'NEW...Tables 91-112'!B166+'NEW...Tables 91-112'!C166</f>
        <v>0</v>
      </c>
      <c r="G9" s="404">
        <f>+'NEW...Tables 91-112'!B196+'NEW...Tables 91-112'!C196</f>
        <v>0</v>
      </c>
      <c r="H9" s="409">
        <f>+'NEW...Tables 91-112'!B11+'NEW...Tables 91-112'!C11</f>
        <v>95.422069475442612</v>
      </c>
      <c r="I9" s="406">
        <f>+'NEW...Tables 91-112'!B258+'NEW...Tables 91-112'!C258</f>
        <v>0</v>
      </c>
      <c r="J9" s="404">
        <f>+'NEW...Tables 91-112'!B289+'NEW...Tables 91-112'!C289</f>
        <v>0</v>
      </c>
      <c r="K9" s="404">
        <f>+'NEW...Tables 91-112'!B320+'NEW...Tables 91-112'!C320</f>
        <v>80.386420543015547</v>
      </c>
      <c r="L9" s="404">
        <f>+'NEW...Tables 91-112'!B351+'NEW...Tables 91-112'!C351</f>
        <v>0</v>
      </c>
      <c r="M9" s="406">
        <f>+'NEW...Tables 91-112'!B227+'NEW...Tables 91-112'!C227</f>
        <v>80.386420543015547</v>
      </c>
      <c r="N9" s="407">
        <f>+'NEW...Tables 91-112'!B412+'NEW...Tables 91-112'!C412</f>
        <v>0</v>
      </c>
      <c r="O9" s="333">
        <f>+'NEW...Tables 91-112'!B442+'NEW...Tables 91-112'!C442</f>
        <v>0</v>
      </c>
      <c r="P9" s="406">
        <f>+'NEW...Tables 91-112'!B382+'NEW...Tables 91-112'!C382</f>
        <v>0</v>
      </c>
    </row>
    <row r="10" spans="1:33">
      <c r="A10" s="298" t="s">
        <v>828</v>
      </c>
      <c r="B10" s="404">
        <f>+'NEW...Tables 91-112'!B44+'NEW...Tables 91-112'!C44</f>
        <v>0</v>
      </c>
      <c r="C10" s="404">
        <f>+'NEW...Tables 91-112'!B75+'NEW...Tables 91-112'!C75</f>
        <v>0</v>
      </c>
      <c r="D10" s="404">
        <f>+'NEW...Tables 91-112'!B105+'NEW...Tables 91-112'!C105</f>
        <v>0</v>
      </c>
      <c r="E10" s="404">
        <f>+'NEW...Tables 91-112'!B136+'NEW...Tables 91-112'!C136</f>
        <v>0</v>
      </c>
      <c r="F10" s="404">
        <f>+'NEW...Tables 91-112'!B167+'NEW...Tables 91-112'!C167</f>
        <v>0</v>
      </c>
      <c r="G10" s="404">
        <f>+'NEW...Tables 91-112'!B197+'NEW...Tables 91-112'!C197</f>
        <v>0</v>
      </c>
      <c r="H10" s="409">
        <f>+'NEW...Tables 91-112'!B12+'NEW...Tables 91-112'!C12</f>
        <v>0</v>
      </c>
      <c r="I10" s="406">
        <f>+'NEW...Tables 91-112'!B259+'NEW...Tables 91-112'!C259</f>
        <v>71.918859042053597</v>
      </c>
      <c r="J10" s="404">
        <f>+'NEW...Tables 91-112'!B290+'NEW...Tables 91-112'!C290</f>
        <v>69.372932530086274</v>
      </c>
      <c r="K10" s="404">
        <f>+'NEW...Tables 91-112'!B321+'NEW...Tables 91-112'!C321</f>
        <v>0</v>
      </c>
      <c r="L10" s="404">
        <f>+'NEW...Tables 91-112'!B352+'NEW...Tables 91-112'!C352</f>
        <v>66.427322972270773</v>
      </c>
      <c r="M10" s="406">
        <f>+'NEW...Tables 91-112'!B228+'NEW...Tables 91-112'!C228</f>
        <v>71.655960115907064</v>
      </c>
      <c r="N10" s="407">
        <f>+'NEW...Tables 91-112'!B413+'NEW...Tables 91-112'!C413</f>
        <v>0</v>
      </c>
      <c r="O10" s="333">
        <f>+'NEW...Tables 91-112'!B443+'NEW...Tables 91-112'!C443</f>
        <v>0</v>
      </c>
      <c r="P10" s="406">
        <f>+'NEW...Tables 91-112'!B383+'NEW...Tables 91-112'!C383</f>
        <v>0</v>
      </c>
    </row>
    <row r="11" spans="1:33">
      <c r="A11" s="298"/>
      <c r="B11" s="404"/>
      <c r="C11" s="404"/>
      <c r="D11" s="404"/>
      <c r="E11" s="404"/>
      <c r="F11" s="404"/>
      <c r="G11" s="404"/>
      <c r="H11" s="409"/>
      <c r="I11" s="406"/>
      <c r="J11" s="404"/>
      <c r="K11" s="404"/>
      <c r="L11" s="404"/>
      <c r="M11" s="406"/>
      <c r="N11" s="407"/>
      <c r="O11" s="333"/>
      <c r="P11" s="406"/>
    </row>
    <row r="12" spans="1:33">
      <c r="A12" s="298" t="s">
        <v>829</v>
      </c>
      <c r="B12" s="404">
        <f>+'NEW...Tables 91-112'!B46+'NEW...Tables 91-112'!C46</f>
        <v>86.420104126378462</v>
      </c>
      <c r="C12" s="404">
        <f>+'NEW...Tables 91-112'!B77+'NEW...Tables 91-112'!C77</f>
        <v>97.281575045429719</v>
      </c>
      <c r="D12" s="404">
        <f>+'NEW...Tables 91-112'!B107+'NEW...Tables 91-112'!C107</f>
        <v>75.543228413463794</v>
      </c>
      <c r="E12" s="404">
        <f>+'NEW...Tables 91-112'!B138+'NEW...Tables 91-112'!C138</f>
        <v>80.876455642184538</v>
      </c>
      <c r="F12" s="404">
        <f>+'NEW...Tables 91-112'!B169+'NEW...Tables 91-112'!C169</f>
        <v>85.537573533793619</v>
      </c>
      <c r="G12" s="404">
        <f>+'NEW...Tables 91-112'!B199+'NEW...Tables 91-112'!C199</f>
        <v>83.436754727543189</v>
      </c>
      <c r="H12" s="409">
        <f>+'NEW...Tables 91-112'!B14+'NEW...Tables 91-112'!C14</f>
        <v>82.308871287232407</v>
      </c>
      <c r="I12" s="406">
        <f>+'NEW...Tables 91-112'!B261+'NEW...Tables 91-112'!C261</f>
        <v>76.495910626959912</v>
      </c>
      <c r="J12" s="404">
        <f>+'NEW...Tables 91-112'!B292+'NEW...Tables 91-112'!C292</f>
        <v>0</v>
      </c>
      <c r="K12" s="404">
        <f>+'NEW...Tables 91-112'!B323+'NEW...Tables 91-112'!C323</f>
        <v>0</v>
      </c>
      <c r="L12" s="404">
        <f>+'NEW...Tables 91-112'!B354+'NEW...Tables 91-112'!C354</f>
        <v>0</v>
      </c>
      <c r="M12" s="406">
        <f>+'NEW...Tables 91-112'!B230+'NEW...Tables 91-112'!C230</f>
        <v>76.495910626959912</v>
      </c>
      <c r="N12" s="407">
        <f>+'NEW...Tables 91-112'!B415+'NEW...Tables 91-112'!C415</f>
        <v>63.456766317035587</v>
      </c>
      <c r="O12" s="333">
        <f>+'NEW...Tables 91-112'!B445+'NEW...Tables 91-112'!C445</f>
        <v>0</v>
      </c>
      <c r="P12" s="406">
        <f>+'NEW...Tables 91-112'!B385+'NEW...Tables 91-112'!C385</f>
        <v>63.456766317035587</v>
      </c>
    </row>
    <row r="13" spans="1:33">
      <c r="A13" s="298" t="s">
        <v>830</v>
      </c>
      <c r="B13" s="404">
        <f>+'NEW...Tables 91-112'!B47+'NEW...Tables 91-112'!C47</f>
        <v>89.141474777229263</v>
      </c>
      <c r="C13" s="404">
        <f>+'NEW...Tables 91-112'!B78+'NEW...Tables 91-112'!C78</f>
        <v>0</v>
      </c>
      <c r="D13" s="404">
        <f>+'NEW...Tables 91-112'!B108+'NEW...Tables 91-112'!C108</f>
        <v>78.40230219315751</v>
      </c>
      <c r="E13" s="404">
        <f>+'NEW...Tables 91-112'!B139+'NEW...Tables 91-112'!C139</f>
        <v>70.110794409709456</v>
      </c>
      <c r="F13" s="404">
        <f>+'NEW...Tables 91-112'!B170+'NEW...Tables 91-112'!C170</f>
        <v>0</v>
      </c>
      <c r="G13" s="404">
        <f>+'NEW...Tables 91-112'!B200+'NEW...Tables 91-112'!C200</f>
        <v>0</v>
      </c>
      <c r="H13" s="409">
        <f>+'NEW...Tables 91-112'!B15+'NEW...Tables 91-112'!C15</f>
        <v>82.549571353754473</v>
      </c>
      <c r="I13" s="406">
        <f>+'NEW...Tables 91-112'!B262+'NEW...Tables 91-112'!C262</f>
        <v>0</v>
      </c>
      <c r="J13" s="404">
        <f>+'NEW...Tables 91-112'!B293+'NEW...Tables 91-112'!C293</f>
        <v>64.548587362550634</v>
      </c>
      <c r="K13" s="404">
        <f>+'NEW...Tables 91-112'!B324+'NEW...Tables 91-112'!C324</f>
        <v>52.88144914945493</v>
      </c>
      <c r="L13" s="404">
        <f>+'NEW...Tables 91-112'!B355+'NEW...Tables 91-112'!C355</f>
        <v>51.558958730809124</v>
      </c>
      <c r="M13" s="406">
        <f>+'NEW...Tables 91-112'!B231+'NEW...Tables 91-112'!C231</f>
        <v>56.36165921041642</v>
      </c>
      <c r="N13" s="407">
        <f>+'NEW...Tables 91-112'!B416+'NEW...Tables 91-112'!C416</f>
        <v>68.581831276131794</v>
      </c>
      <c r="O13" s="333">
        <f>+'NEW...Tables 91-112'!B446+'NEW...Tables 91-112'!C446</f>
        <v>0</v>
      </c>
      <c r="P13" s="406">
        <f>+'NEW...Tables 91-112'!B386+'NEW...Tables 91-112'!C386</f>
        <v>68.581831276131794</v>
      </c>
    </row>
    <row r="14" spans="1:33">
      <c r="A14" s="298" t="s">
        <v>831</v>
      </c>
      <c r="B14" s="404">
        <f>+'NEW...Tables 91-112'!B48+'NEW...Tables 91-112'!C48</f>
        <v>96.402877697841717</v>
      </c>
      <c r="C14" s="404">
        <f>+'NEW...Tables 91-112'!B79+'NEW...Tables 91-112'!C79</f>
        <v>87.177835651346641</v>
      </c>
      <c r="D14" s="404">
        <f>+'NEW...Tables 91-112'!B109+'NEW...Tables 91-112'!C109</f>
        <v>80.504178027306992</v>
      </c>
      <c r="E14" s="404">
        <f>+'NEW...Tables 91-112'!B140+'NEW...Tables 91-112'!C140</f>
        <v>72.404022869385216</v>
      </c>
      <c r="F14" s="404">
        <f>+'NEW...Tables 91-112'!B171+'NEW...Tables 91-112'!C171</f>
        <v>85.860655737704903</v>
      </c>
      <c r="G14" s="404">
        <f>+'NEW...Tables 91-112'!B201+'NEW...Tables 91-112'!C201</f>
        <v>62.472727272727305</v>
      </c>
      <c r="H14" s="409">
        <f>+'NEW...Tables 91-112'!B16+'NEW...Tables 91-112'!C16</f>
        <v>84.046850485491746</v>
      </c>
      <c r="I14" s="406">
        <f>+'NEW...Tables 91-112'!B263+'NEW...Tables 91-112'!C263</f>
        <v>0</v>
      </c>
      <c r="J14" s="404">
        <f>+'NEW...Tables 91-112'!B294+'NEW...Tables 91-112'!C294</f>
        <v>78.126127260262322</v>
      </c>
      <c r="K14" s="404">
        <f>+'NEW...Tables 91-112'!B325+'NEW...Tables 91-112'!C325</f>
        <v>80.118159497652357</v>
      </c>
      <c r="L14" s="404">
        <f>+'NEW...Tables 91-112'!B356+'NEW...Tables 91-112'!C356</f>
        <v>73.416646713265351</v>
      </c>
      <c r="M14" s="406">
        <f>+'NEW...Tables 91-112'!B232+'NEW...Tables 91-112'!C232</f>
        <v>77.871986602603187</v>
      </c>
      <c r="N14" s="407">
        <f>+'NEW...Tables 91-112'!B417+'NEW...Tables 91-112'!C417</f>
        <v>81.208959974508431</v>
      </c>
      <c r="O14" s="333">
        <f>+'NEW...Tables 91-112'!B447+'NEW...Tables 91-112'!C447</f>
        <v>0</v>
      </c>
      <c r="P14" s="406">
        <f>+'NEW...Tables 91-112'!B387+'NEW...Tables 91-112'!C387</f>
        <v>81.208959974508431</v>
      </c>
    </row>
    <row r="15" spans="1:33">
      <c r="A15" s="298" t="s">
        <v>832</v>
      </c>
      <c r="B15" s="404">
        <f>+'NEW...Tables 91-112'!B49+'NEW...Tables 91-112'!C49</f>
        <v>95.312156403424922</v>
      </c>
      <c r="C15" s="404">
        <f>+'NEW...Tables 91-112'!B80+'NEW...Tables 91-112'!C80</f>
        <v>88.944888278616901</v>
      </c>
      <c r="D15" s="404">
        <f>+'NEW...Tables 91-112'!B110+'NEW...Tables 91-112'!C110</f>
        <v>87.074365491545748</v>
      </c>
      <c r="E15" s="404">
        <f>+'NEW...Tables 91-112'!B141+'NEW...Tables 91-112'!C141</f>
        <v>82.347000319782381</v>
      </c>
      <c r="F15" s="404">
        <f>+'NEW...Tables 91-112'!B172+'NEW...Tables 91-112'!C172</f>
        <v>78.81552296848416</v>
      </c>
      <c r="G15" s="404">
        <f>+'NEW...Tables 91-112'!B202+'NEW...Tables 91-112'!C202</f>
        <v>99.850266712418502</v>
      </c>
      <c r="H15" s="409">
        <f>+'NEW...Tables 91-112'!B17+'NEW...Tables 91-112'!C17</f>
        <v>69.557018612653792</v>
      </c>
      <c r="I15" s="406">
        <f>+'NEW...Tables 91-112'!B264+'NEW...Tables 91-112'!C264</f>
        <v>0</v>
      </c>
      <c r="J15" s="404">
        <f>+'NEW...Tables 91-112'!B295+'NEW...Tables 91-112'!C295</f>
        <v>81.666676986839718</v>
      </c>
      <c r="K15" s="404">
        <f>+'NEW...Tables 91-112'!B326+'NEW...Tables 91-112'!C326</f>
        <v>74.277020544898008</v>
      </c>
      <c r="L15" s="404">
        <f>+'NEW...Tables 91-112'!B357+'NEW...Tables 91-112'!C357</f>
        <v>73.800727757562285</v>
      </c>
      <c r="M15" s="406">
        <f>+'NEW...Tables 91-112'!B233+'NEW...Tables 91-112'!C233</f>
        <v>79.830528558545865</v>
      </c>
      <c r="N15" s="407">
        <f>+'NEW...Tables 91-112'!B418+'NEW...Tables 91-112'!C418</f>
        <v>0</v>
      </c>
      <c r="O15" s="333">
        <f>+'NEW...Tables 91-112'!B448+'NEW...Tables 91-112'!C448</f>
        <v>0</v>
      </c>
      <c r="P15" s="406">
        <f>+'NEW...Tables 91-112'!B388+'NEW...Tables 91-112'!C388</f>
        <v>0</v>
      </c>
    </row>
    <row r="16" spans="1:33">
      <c r="A16" s="298"/>
      <c r="B16" s="404"/>
      <c r="C16" s="404"/>
      <c r="D16" s="404"/>
      <c r="E16" s="404"/>
      <c r="F16" s="404"/>
      <c r="G16" s="404"/>
      <c r="H16" s="409"/>
      <c r="I16" s="406"/>
      <c r="J16" s="404"/>
      <c r="K16" s="404"/>
      <c r="L16" s="404"/>
      <c r="M16" s="406"/>
      <c r="N16" s="407"/>
      <c r="O16" s="333"/>
      <c r="P16" s="406"/>
    </row>
    <row r="17" spans="1:25" ht="15.75" customHeight="1">
      <c r="A17" s="298" t="s">
        <v>833</v>
      </c>
      <c r="B17" s="404">
        <f>+'NEW...Tables 91-112'!B51+'NEW...Tables 91-112'!C51</f>
        <v>84.75273994325353</v>
      </c>
      <c r="C17" s="404">
        <f>+'NEW...Tables 91-112'!B82+'NEW...Tables 91-112'!C82</f>
        <v>69.099396335698174</v>
      </c>
      <c r="D17" s="404">
        <f>+'NEW...Tables 91-112'!B112+'NEW...Tables 91-112'!C112</f>
        <v>0</v>
      </c>
      <c r="E17" s="404">
        <f>+'NEW...Tables 91-112'!B143+'NEW...Tables 91-112'!C143</f>
        <v>75.177862721071008</v>
      </c>
      <c r="F17" s="404">
        <f>+'NEW...Tables 91-112'!B174+'NEW...Tables 91-112'!C174</f>
        <v>47.511215855528427</v>
      </c>
      <c r="G17" s="404">
        <f>+'NEW...Tables 91-112'!B204+'NEW...Tables 91-112'!C204</f>
        <v>0</v>
      </c>
      <c r="H17" s="409">
        <f>+'NEW...Tables 91-112'!B19+'NEW...Tables 91-112'!C19</f>
        <v>80.922784669161331</v>
      </c>
      <c r="I17" s="406">
        <f>+'NEW...Tables 91-112'!B266+'NEW...Tables 91-112'!C266</f>
        <v>0</v>
      </c>
      <c r="J17" s="404">
        <f>+'NEW...Tables 91-112'!B297+'NEW...Tables 91-112'!C297</f>
        <v>71.784073279320936</v>
      </c>
      <c r="K17" s="404">
        <f>+'NEW...Tables 91-112'!B328+'NEW...Tables 91-112'!C328</f>
        <v>73.740952244321619</v>
      </c>
      <c r="L17" s="404">
        <f>+'NEW...Tables 91-112'!B359+'NEW...Tables 91-112'!C359</f>
        <v>75.52402450822315</v>
      </c>
      <c r="M17" s="406">
        <f>+'NEW...Tables 91-112'!B235+'NEW...Tables 91-112'!C235</f>
        <v>72.783984947872796</v>
      </c>
      <c r="N17" s="407">
        <f>+'NEW...Tables 91-112'!B420+'NEW...Tables 91-112'!C420</f>
        <v>0</v>
      </c>
      <c r="O17" s="333">
        <f>+'NEW...Tables 91-112'!B450+'NEW...Tables 91-112'!C450</f>
        <v>0</v>
      </c>
      <c r="P17" s="406">
        <f>+'NEW...Tables 91-112'!B390+'NEW...Tables 91-112'!C390</f>
        <v>0</v>
      </c>
    </row>
    <row r="18" spans="1:25" ht="15.75" customHeight="1">
      <c r="A18" s="298" t="s">
        <v>834</v>
      </c>
      <c r="B18" s="404">
        <f>+'NEW...Tables 91-112'!B52+'NEW...Tables 91-112'!C52</f>
        <v>85.733028945482943</v>
      </c>
      <c r="C18" s="404">
        <f>+'NEW...Tables 91-112'!B83+'NEW...Tables 91-112'!C83</f>
        <v>78.536563015456039</v>
      </c>
      <c r="D18" s="404">
        <f>+'NEW...Tables 91-112'!B113+'NEW...Tables 91-112'!C113</f>
        <v>83.323595243549917</v>
      </c>
      <c r="E18" s="404">
        <f>+'NEW...Tables 91-112'!B144+'NEW...Tables 91-112'!C144</f>
        <v>61.262852587012702</v>
      </c>
      <c r="F18" s="404">
        <f>+'NEW...Tables 91-112'!B175+'NEW...Tables 91-112'!C175</f>
        <v>74.096715078909213</v>
      </c>
      <c r="G18" s="404">
        <f>+'NEW...Tables 91-112'!B205+'NEW...Tables 91-112'!C205</f>
        <v>92.68913836772002</v>
      </c>
      <c r="H18" s="409">
        <f>+'NEW...Tables 91-112'!B20+'NEW...Tables 91-112'!C20</f>
        <v>83.468642297777649</v>
      </c>
      <c r="I18" s="406">
        <f>+'NEW...Tables 91-112'!B267+'NEW...Tables 91-112'!C267</f>
        <v>0</v>
      </c>
      <c r="J18" s="404">
        <f>+'NEW...Tables 91-112'!B298+'NEW...Tables 91-112'!C298</f>
        <v>55.72759397930006</v>
      </c>
      <c r="K18" s="404">
        <f>+'NEW...Tables 91-112'!B329+'NEW...Tables 91-112'!C329</f>
        <v>49.114424796726524</v>
      </c>
      <c r="L18" s="404">
        <f>+'NEW...Tables 91-112'!B360+'NEW...Tables 91-112'!C360</f>
        <v>47.491212610599902</v>
      </c>
      <c r="M18" s="406">
        <f>+'NEW...Tables 91-112'!B236+'NEW...Tables 91-112'!C236</f>
        <v>51.928708777360605</v>
      </c>
      <c r="N18" s="407">
        <f>+'NEW...Tables 91-112'!B421+'NEW...Tables 91-112'!C421</f>
        <v>0</v>
      </c>
      <c r="O18" s="333">
        <f>+'NEW...Tables 91-112'!B451+'NEW...Tables 91-112'!C451</f>
        <v>0</v>
      </c>
      <c r="P18" s="406">
        <f>+'NEW...Tables 91-112'!B391+'NEW...Tables 91-112'!C391</f>
        <v>0</v>
      </c>
    </row>
    <row r="19" spans="1:25" ht="15.75" customHeight="1">
      <c r="A19" s="298" t="s">
        <v>835</v>
      </c>
      <c r="B19" s="404">
        <f>+'NEW...Tables 91-112'!B53+'NEW...Tables 91-112'!C53</f>
        <v>85.590369464122233</v>
      </c>
      <c r="C19" s="404">
        <f>+'NEW...Tables 91-112'!B84+'NEW...Tables 91-112'!C84</f>
        <v>0</v>
      </c>
      <c r="D19" s="404">
        <f>+'NEW...Tables 91-112'!B114+'NEW...Tables 91-112'!C114</f>
        <v>74.184362999982525</v>
      </c>
      <c r="E19" s="404">
        <f>+'NEW...Tables 91-112'!B145+'NEW...Tables 91-112'!C145</f>
        <v>67.254512173519387</v>
      </c>
      <c r="F19" s="404">
        <f>+'NEW...Tables 91-112'!B176+'NEW...Tables 91-112'!C176</f>
        <v>74.441201280481124</v>
      </c>
      <c r="G19" s="404">
        <f>+'NEW...Tables 91-112'!B206+'NEW...Tables 91-112'!C206</f>
        <v>74.116533749422103</v>
      </c>
      <c r="H19" s="409">
        <f>+'NEW...Tables 91-112'!B21+'NEW...Tables 91-112'!C21</f>
        <v>79.480286280382359</v>
      </c>
      <c r="I19" s="406">
        <f>+'NEW...Tables 91-112'!B268+'NEW...Tables 91-112'!C268</f>
        <v>65.775866843215539</v>
      </c>
      <c r="J19" s="404">
        <f>+'NEW...Tables 91-112'!B299+'NEW...Tables 91-112'!C299</f>
        <v>73.631198252616869</v>
      </c>
      <c r="K19" s="404">
        <f>+'NEW...Tables 91-112'!B330+'NEW...Tables 91-112'!C330</f>
        <v>68.105544512418703</v>
      </c>
      <c r="L19" s="404">
        <f>+'NEW...Tables 91-112'!B361+'NEW...Tables 91-112'!C361</f>
        <v>68.249876084455849</v>
      </c>
      <c r="M19" s="406">
        <f>+'NEW...Tables 91-112'!B237+'NEW...Tables 91-112'!C237</f>
        <v>70.150708384380991</v>
      </c>
      <c r="N19" s="407">
        <f>+'NEW...Tables 91-112'!B422+'NEW...Tables 91-112'!C422</f>
        <v>0</v>
      </c>
      <c r="O19" s="333">
        <f>+'NEW...Tables 91-112'!B452+'NEW...Tables 91-112'!C452</f>
        <v>0</v>
      </c>
      <c r="P19" s="406">
        <f>+'NEW...Tables 91-112'!B392+'NEW...Tables 91-112'!C392</f>
        <v>0</v>
      </c>
    </row>
    <row r="20" spans="1:25" ht="15.75" customHeight="1">
      <c r="A20" s="298" t="s">
        <v>836</v>
      </c>
      <c r="B20" s="404">
        <f>+'NEW...Tables 91-112'!B54+'NEW...Tables 91-112'!C54</f>
        <v>89.636703809651223</v>
      </c>
      <c r="C20" s="404">
        <f>+'NEW...Tables 91-112'!B85+'NEW...Tables 91-112'!C85</f>
        <v>0</v>
      </c>
      <c r="D20" s="404">
        <f>+'NEW...Tables 91-112'!B115+'NEW...Tables 91-112'!C115</f>
        <v>92.122664396205408</v>
      </c>
      <c r="E20" s="404">
        <f>+'NEW...Tables 91-112'!B146+'NEW...Tables 91-112'!C146</f>
        <v>82.646908778405106</v>
      </c>
      <c r="F20" s="404">
        <f>+'NEW...Tables 91-112'!B177+'NEW...Tables 91-112'!C177</f>
        <v>91.829115750986233</v>
      </c>
      <c r="G20" s="404">
        <f>+'NEW...Tables 91-112'!B207+'NEW...Tables 91-112'!C207</f>
        <v>78.868109269999195</v>
      </c>
      <c r="H20" s="409">
        <f>+'NEW...Tables 91-112'!B22+'NEW...Tables 91-112'!C22</f>
        <v>87.993494869873203</v>
      </c>
      <c r="I20" s="406">
        <f>+'NEW...Tables 91-112'!B269+'NEW...Tables 91-112'!C269</f>
        <v>0</v>
      </c>
      <c r="J20" s="404">
        <f>+'NEW...Tables 91-112'!B300+'NEW...Tables 91-112'!C300</f>
        <v>63.41609002277098</v>
      </c>
      <c r="K20" s="404">
        <f>+'NEW...Tables 91-112'!B331+'NEW...Tables 91-112'!C331</f>
        <v>66.018881121243965</v>
      </c>
      <c r="L20" s="404">
        <f>+'NEW...Tables 91-112'!B362+'NEW...Tables 91-112'!C362</f>
        <v>75.005028106261776</v>
      </c>
      <c r="M20" s="406">
        <f>+'NEW...Tables 91-112'!B238+'NEW...Tables 91-112'!C238</f>
        <v>66.247681539205772</v>
      </c>
      <c r="N20" s="407">
        <f>+'NEW...Tables 91-112'!B423+'NEW...Tables 91-112'!C423</f>
        <v>0</v>
      </c>
      <c r="O20" s="333">
        <f>+'NEW...Tables 91-112'!B453+'NEW...Tables 91-112'!C453</f>
        <v>0</v>
      </c>
      <c r="P20" s="406">
        <f>+'NEW...Tables 91-112'!B393+'NEW...Tables 91-112'!C393</f>
        <v>0</v>
      </c>
    </row>
    <row r="21" spans="1:25" ht="15.75" customHeight="1">
      <c r="A21" s="298"/>
      <c r="B21" s="404"/>
      <c r="C21" s="404"/>
      <c r="D21" s="404"/>
      <c r="E21" s="404"/>
      <c r="F21" s="404"/>
      <c r="G21" s="404"/>
      <c r="H21" s="409"/>
      <c r="I21" s="406"/>
      <c r="J21" s="404"/>
      <c r="K21" s="404"/>
      <c r="L21" s="404"/>
      <c r="M21" s="406"/>
      <c r="N21" s="407"/>
      <c r="O21" s="333"/>
      <c r="P21" s="406"/>
    </row>
    <row r="22" spans="1:25" ht="15.75" customHeight="1">
      <c r="A22" s="298" t="s">
        <v>837</v>
      </c>
      <c r="B22" s="404">
        <f>+'NEW...Tables 91-112'!B56+'NEW...Tables 91-112'!C56</f>
        <v>83.771965419560303</v>
      </c>
      <c r="C22" s="404">
        <f>+'NEW...Tables 91-112'!B87+'NEW...Tables 91-112'!C87</f>
        <v>77.271552687091599</v>
      </c>
      <c r="D22" s="404">
        <f>+'NEW...Tables 91-112'!B117+'NEW...Tables 91-112'!C117</f>
        <v>70.472962658412158</v>
      </c>
      <c r="E22" s="404">
        <f>+'NEW...Tables 91-112'!B148+'NEW...Tables 91-112'!C148</f>
        <v>0</v>
      </c>
      <c r="F22" s="404">
        <f>+'NEW...Tables 91-112'!B179+'NEW...Tables 91-112'!C179</f>
        <v>81.859562219693416</v>
      </c>
      <c r="G22" s="404">
        <f>+'NEW...Tables 91-112'!B209+'NEW...Tables 91-112'!C209</f>
        <v>0</v>
      </c>
      <c r="H22" s="409">
        <f>+'NEW...Tables 91-112'!B24+'NEW...Tables 91-112'!C24</f>
        <v>78.011285233305784</v>
      </c>
      <c r="I22" s="406">
        <f>+'NEW...Tables 91-112'!B271+'NEW...Tables 91-112'!C271</f>
        <v>0</v>
      </c>
      <c r="J22" s="404">
        <f>+'NEW...Tables 91-112'!B302+'NEW...Tables 91-112'!C302</f>
        <v>71.830861571929333</v>
      </c>
      <c r="K22" s="404">
        <f>+'NEW...Tables 91-112'!B333+'NEW...Tables 91-112'!C333</f>
        <v>69.7876612379238</v>
      </c>
      <c r="L22" s="404">
        <f>+'NEW...Tables 91-112'!B364+'NEW...Tables 91-112'!C364</f>
        <v>68.863640792781553</v>
      </c>
      <c r="M22" s="406">
        <f>+'NEW...Tables 91-112'!B240+'NEW...Tables 91-112'!C240</f>
        <v>70.830303281946044</v>
      </c>
      <c r="N22" s="407">
        <f>+'NEW...Tables 91-112'!B425+'NEW...Tables 91-112'!C425</f>
        <v>0</v>
      </c>
      <c r="O22" s="333">
        <f>+'NEW...Tables 91-112'!B455+'NEW...Tables 91-112'!C455</f>
        <v>0</v>
      </c>
      <c r="P22" s="406">
        <f>+'NEW...Tables 91-112'!B395+'NEW...Tables 91-112'!C395</f>
        <v>0</v>
      </c>
    </row>
    <row r="23" spans="1:25" ht="15.75" customHeight="1">
      <c r="A23" s="298" t="s">
        <v>838</v>
      </c>
      <c r="B23" s="404">
        <f>+'NEW...Tables 91-112'!B57+'NEW...Tables 91-112'!C57</f>
        <v>81.923122928972077</v>
      </c>
      <c r="C23" s="404">
        <f>+'NEW...Tables 91-112'!B88+'NEW...Tables 91-112'!C88</f>
        <v>84.439554761235925</v>
      </c>
      <c r="D23" s="404">
        <f>+'NEW...Tables 91-112'!B118+'NEW...Tables 91-112'!C118</f>
        <v>75.304795934857154</v>
      </c>
      <c r="E23" s="404">
        <f>+'NEW...Tables 91-112'!B149+'NEW...Tables 91-112'!C149</f>
        <v>45.922963448614979</v>
      </c>
      <c r="F23" s="404">
        <f>+'NEW...Tables 91-112'!B180+'NEW...Tables 91-112'!C180</f>
        <v>60.351389704014501</v>
      </c>
      <c r="G23" s="404">
        <f>+'NEW...Tables 91-112'!B210+'NEW...Tables 91-112'!C210</f>
        <v>0</v>
      </c>
      <c r="H23" s="409">
        <f>+'NEW...Tables 91-112'!B25+'NEW...Tables 91-112'!C25</f>
        <v>79.044233669601837</v>
      </c>
      <c r="I23" s="406">
        <f>+'NEW...Tables 91-112'!B272+'NEW...Tables 91-112'!C272</f>
        <v>74.489781927192723</v>
      </c>
      <c r="J23" s="404">
        <f>+'NEW...Tables 91-112'!B303+'NEW...Tables 91-112'!C303</f>
        <v>70.178454415689615</v>
      </c>
      <c r="K23" s="404">
        <f>+'NEW...Tables 91-112'!B334+'NEW...Tables 91-112'!C334</f>
        <v>68.37795434177913</v>
      </c>
      <c r="L23" s="404">
        <f>+'NEW...Tables 91-112'!B365+'NEW...Tables 91-112'!C365</f>
        <v>61.195320280608058</v>
      </c>
      <c r="M23" s="406">
        <f>+'NEW...Tables 91-112'!B241+'NEW...Tables 91-112'!C241</f>
        <v>69.775658244754339</v>
      </c>
      <c r="N23" s="407">
        <f>+'NEW...Tables 91-112'!B426+'NEW...Tables 91-112'!C426</f>
        <v>0</v>
      </c>
      <c r="O23" s="333">
        <f>+'NEW...Tables 91-112'!B456+'NEW...Tables 91-112'!C456</f>
        <v>0</v>
      </c>
      <c r="P23" s="406">
        <f>+'NEW...Tables 91-112'!B396+'NEW...Tables 91-112'!C396</f>
        <v>0</v>
      </c>
    </row>
    <row r="24" spans="1:25" ht="15.75" customHeight="1">
      <c r="A24" s="298" t="s">
        <v>839</v>
      </c>
      <c r="B24" s="404">
        <f>+'NEW...Tables 91-112'!B58+'NEW...Tables 91-112'!C58</f>
        <v>89.336576882453386</v>
      </c>
      <c r="C24" s="404">
        <f>+'NEW...Tables 91-112'!B89+'NEW...Tables 91-112'!C89</f>
        <v>99.603090530222772</v>
      </c>
      <c r="D24" s="404">
        <f>+'NEW...Tables 91-112'!B119+'NEW...Tables 91-112'!C119</f>
        <v>90.568775140437779</v>
      </c>
      <c r="E24" s="404">
        <f>+'NEW...Tables 91-112'!B150+'NEW...Tables 91-112'!C150</f>
        <v>0</v>
      </c>
      <c r="F24" s="404">
        <f>+'NEW...Tables 91-112'!B181+'NEW...Tables 91-112'!C181</f>
        <v>100.00000000000001</v>
      </c>
      <c r="G24" s="404">
        <f>+'NEW...Tables 91-112'!B211+'NEW...Tables 91-112'!C211</f>
        <v>75.147290502190472</v>
      </c>
      <c r="H24" s="409">
        <f>+'NEW...Tables 91-112'!B26+'NEW...Tables 91-112'!C26</f>
        <v>90.229251752617344</v>
      </c>
      <c r="I24" s="406">
        <f>+'NEW...Tables 91-112'!B273+'NEW...Tables 91-112'!C273</f>
        <v>0</v>
      </c>
      <c r="J24" s="404">
        <f>+'NEW...Tables 91-112'!B304+'NEW...Tables 91-112'!C304</f>
        <v>71.075201389223864</v>
      </c>
      <c r="K24" s="404">
        <f>+'NEW...Tables 91-112'!B335+'NEW...Tables 91-112'!C335</f>
        <v>67.042965070350647</v>
      </c>
      <c r="L24" s="404">
        <f>+'NEW...Tables 91-112'!B366+'NEW...Tables 91-112'!C366</f>
        <v>61.425267591128119</v>
      </c>
      <c r="M24" s="406">
        <f>+'NEW...Tables 91-112'!B242+'NEW...Tables 91-112'!C242</f>
        <v>68.715267718401847</v>
      </c>
      <c r="N24" s="407">
        <f>+'NEW...Tables 91-112'!B427+'NEW...Tables 91-112'!C427</f>
        <v>0</v>
      </c>
      <c r="O24" s="333">
        <f>+'NEW...Tables 91-112'!B457+'NEW...Tables 91-112'!C457</f>
        <v>0</v>
      </c>
      <c r="P24" s="406">
        <f>+'NEW...Tables 91-112'!B397+'NEW...Tables 91-112'!C397</f>
        <v>0</v>
      </c>
    </row>
    <row r="25" spans="1:25" ht="15.75" customHeight="1">
      <c r="A25" s="304" t="s">
        <v>840</v>
      </c>
      <c r="B25" s="410">
        <f>+'NEW...Tables 91-112'!B59+'NEW...Tables 91-112'!C59</f>
        <v>88.323812110994808</v>
      </c>
      <c r="C25" s="410">
        <f>+'NEW...Tables 91-112'!B90+'NEW...Tables 91-112'!C90</f>
        <v>0</v>
      </c>
      <c r="D25" s="410">
        <f>+'NEW...Tables 91-112'!B120+'NEW...Tables 91-112'!C120</f>
        <v>82.29102118919846</v>
      </c>
      <c r="E25" s="410">
        <f>+'NEW...Tables 91-112'!B151+'NEW...Tables 91-112'!C151</f>
        <v>0</v>
      </c>
      <c r="F25" s="410">
        <f>+'NEW...Tables 91-112'!B182+'NEW...Tables 91-112'!C182</f>
        <v>83.19389664409654</v>
      </c>
      <c r="G25" s="410">
        <f>+'NEW...Tables 91-112'!B212+'NEW...Tables 91-112'!C212</f>
        <v>71.918487385489087</v>
      </c>
      <c r="H25" s="411">
        <f>+'NEW...Tables 91-112'!B27+'NEW...Tables 91-112'!C27</f>
        <v>83.914062327288264</v>
      </c>
      <c r="I25" s="412">
        <f>+'NEW...Tables 91-112'!B274+'NEW...Tables 91-112'!C274</f>
        <v>68.201432243848686</v>
      </c>
      <c r="J25" s="410">
        <f>+'NEW...Tables 91-112'!B305+'NEW...Tables 91-112'!C305</f>
        <v>0</v>
      </c>
      <c r="K25" s="410">
        <f>+'NEW...Tables 91-112'!B336+'NEW...Tables 91-112'!C336</f>
        <v>0</v>
      </c>
      <c r="L25" s="410">
        <f>+'NEW...Tables 91-112'!B367+'NEW...Tables 91-112'!C367</f>
        <v>69.132021765836697</v>
      </c>
      <c r="M25" s="412">
        <f>+'NEW...Tables 91-112'!B243+'NEW...Tables 91-112'!C243</f>
        <v>68.912626455301321</v>
      </c>
      <c r="N25" s="414">
        <f>+'NEW...Tables 91-112'!B428+'NEW...Tables 91-112'!C428</f>
        <v>0</v>
      </c>
      <c r="O25" s="343">
        <f>+'NEW...Tables 91-112'!B458+'NEW...Tables 91-112'!C458</f>
        <v>0</v>
      </c>
      <c r="P25" s="412">
        <f>+'NEW...Tables 91-112'!B398+'NEW...Tables 91-112'!C398</f>
        <v>0</v>
      </c>
      <c r="R25" s="428"/>
      <c r="S25" s="428"/>
      <c r="T25" s="428"/>
      <c r="U25" s="437"/>
      <c r="V25" s="437"/>
      <c r="W25" s="437"/>
    </row>
    <row r="26" spans="1:25" s="345" customFormat="1" ht="29.25" customHeight="1">
      <c r="A26" s="451" t="s">
        <v>921</v>
      </c>
      <c r="B26" s="451"/>
      <c r="C26" s="451"/>
      <c r="D26" s="451"/>
      <c r="E26" s="451"/>
      <c r="F26" s="451"/>
      <c r="G26" s="451"/>
      <c r="H26" s="451"/>
      <c r="I26" s="451"/>
      <c r="J26" s="451"/>
      <c r="K26" s="451"/>
      <c r="L26" s="451"/>
      <c r="M26" s="451"/>
      <c r="N26" s="451"/>
      <c r="O26" s="451"/>
      <c r="P26" s="451"/>
    </row>
    <row r="27" spans="1:25" s="345" customFormat="1" ht="11.25"/>
    <row r="28" spans="1:25" s="345" customFormat="1" ht="11.25">
      <c r="M28" s="415"/>
      <c r="P28" s="351" t="s">
        <v>980</v>
      </c>
    </row>
    <row r="29" spans="1:25" ht="18">
      <c r="A29" s="447" t="s">
        <v>911</v>
      </c>
      <c r="B29" s="447"/>
      <c r="C29" s="447"/>
      <c r="D29" s="447"/>
      <c r="E29" s="447"/>
      <c r="F29" s="447"/>
      <c r="G29" s="447"/>
      <c r="H29" s="447"/>
      <c r="I29" s="447"/>
      <c r="J29" s="447"/>
      <c r="K29" s="447"/>
      <c r="L29" s="447"/>
      <c r="M29" s="447"/>
      <c r="N29" s="447"/>
      <c r="O29" s="447"/>
      <c r="P29" s="447"/>
    </row>
    <row r="30" spans="1:25" s="298" customFormat="1" ht="12.75">
      <c r="A30" s="299"/>
      <c r="B30" s="295"/>
      <c r="C30" s="295"/>
      <c r="D30" s="295"/>
      <c r="E30" s="295"/>
      <c r="F30" s="295"/>
      <c r="G30" s="295"/>
      <c r="H30" s="295"/>
      <c r="I30" s="295"/>
      <c r="J30" s="295"/>
      <c r="K30" s="295"/>
      <c r="L30" s="295"/>
      <c r="M30" s="295"/>
    </row>
    <row r="31" spans="1:25" ht="15.75">
      <c r="A31" s="446" t="s">
        <v>997</v>
      </c>
      <c r="B31" s="446"/>
      <c r="C31" s="446"/>
      <c r="D31" s="446"/>
      <c r="E31" s="446"/>
      <c r="F31" s="446"/>
      <c r="G31" s="446"/>
      <c r="H31" s="446"/>
      <c r="I31" s="446"/>
      <c r="J31" s="446"/>
      <c r="K31" s="446"/>
      <c r="L31" s="446"/>
      <c r="M31" s="446"/>
      <c r="N31" s="446"/>
      <c r="O31" s="446"/>
      <c r="P31" s="446"/>
      <c r="Q31" s="298"/>
      <c r="R31" s="399"/>
      <c r="S31" s="298"/>
      <c r="T31" s="298"/>
      <c r="U31" s="298"/>
      <c r="V31" s="298"/>
      <c r="W31" s="298"/>
      <c r="X31" s="298"/>
      <c r="Y31" s="298"/>
    </row>
    <row r="32" spans="1:25" s="298" customFormat="1" ht="9.75" customHeight="1">
      <c r="A32" s="299"/>
      <c r="B32" s="295"/>
      <c r="C32" s="295"/>
      <c r="D32" s="295"/>
      <c r="E32" s="295"/>
      <c r="F32" s="295"/>
      <c r="G32" s="295"/>
      <c r="H32" s="295"/>
      <c r="I32" s="295"/>
      <c r="J32" s="295"/>
      <c r="K32" s="295"/>
      <c r="L32" s="295"/>
      <c r="M32" s="295"/>
    </row>
    <row r="33" spans="1:39" s="399" customFormat="1" ht="18" customHeight="1">
      <c r="A33" s="433"/>
      <c r="B33" s="310" t="s">
        <v>724</v>
      </c>
      <c r="C33" s="310"/>
      <c r="D33" s="310"/>
      <c r="E33" s="310"/>
      <c r="F33" s="310"/>
      <c r="G33" s="310"/>
      <c r="H33" s="322"/>
      <c r="I33" s="321" t="s">
        <v>727</v>
      </c>
      <c r="J33" s="310"/>
      <c r="K33" s="310"/>
      <c r="L33" s="310"/>
      <c r="M33" s="310"/>
      <c r="N33" s="321" t="s">
        <v>743</v>
      </c>
      <c r="O33" s="310"/>
      <c r="P33" s="310"/>
      <c r="Q33" s="439" t="s">
        <v>922</v>
      </c>
      <c r="R33" s="440"/>
      <c r="S33" s="440"/>
    </row>
    <row r="34" spans="1:39" s="403" customFormat="1" ht="26.25" customHeight="1">
      <c r="A34" s="434"/>
      <c r="B34" s="316">
        <v>1</v>
      </c>
      <c r="C34" s="316">
        <v>2</v>
      </c>
      <c r="D34" s="316">
        <v>3</v>
      </c>
      <c r="E34" s="316">
        <v>4</v>
      </c>
      <c r="F34" s="316">
        <v>5</v>
      </c>
      <c r="G34" s="316">
        <v>6</v>
      </c>
      <c r="H34" s="435" t="s">
        <v>920</v>
      </c>
      <c r="I34" s="436" t="s">
        <v>908</v>
      </c>
      <c r="J34" s="316">
        <v>1</v>
      </c>
      <c r="K34" s="316">
        <v>2</v>
      </c>
      <c r="L34" s="316">
        <v>3</v>
      </c>
      <c r="M34" s="315" t="s">
        <v>909</v>
      </c>
      <c r="N34" s="315">
        <v>1</v>
      </c>
      <c r="O34" s="316">
        <v>2</v>
      </c>
      <c r="P34" s="315" t="s">
        <v>909</v>
      </c>
      <c r="Q34" s="439" t="s">
        <v>923</v>
      </c>
      <c r="R34" s="439" t="s">
        <v>924</v>
      </c>
      <c r="S34" s="439" t="s">
        <v>823</v>
      </c>
    </row>
    <row r="35" spans="1:39" ht="15.75" customHeight="1">
      <c r="A35" s="298" t="s">
        <v>825</v>
      </c>
      <c r="B35" s="404">
        <f>+'NEW...Tables 91-112'!D41</f>
        <v>12.420493645055911</v>
      </c>
      <c r="C35" s="404">
        <f>+'NEW...Tables 91-112'!D72</f>
        <v>12.402801959058504</v>
      </c>
      <c r="D35" s="404">
        <f>+'NEW...Tables 91-112'!D102</f>
        <v>24.510888302460394</v>
      </c>
      <c r="E35" s="404">
        <f>+'NEW...Tables 91-112'!D133</f>
        <v>19.659267994777409</v>
      </c>
      <c r="F35" s="404">
        <f>+'NEW...Tables 91-112'!D164</f>
        <v>14.615889586268732</v>
      </c>
      <c r="G35" s="404">
        <f>+'NEW...Tables 91-112'!D194</f>
        <v>80.953180832544362</v>
      </c>
      <c r="H35" s="409">
        <f>+'NEW...Tables 91-112'!D9</f>
        <v>16.719458062896788</v>
      </c>
      <c r="I35" s="406">
        <f>+'NEW...Tables 91-112'!D256</f>
        <v>0</v>
      </c>
      <c r="J35" s="404">
        <f>+'NEW...Tables 91-112'!D287</f>
        <v>34.110503383702607</v>
      </c>
      <c r="K35" s="404">
        <f>+'NEW...Tables 91-112'!D318</f>
        <v>21.560098579332564</v>
      </c>
      <c r="L35" s="404">
        <f>+'NEW...Tables 91-112'!D349</f>
        <v>33.088167634954836</v>
      </c>
      <c r="M35" s="406">
        <f>+'NEW...Tables 91-112'!D225</f>
        <v>26.408420234699911</v>
      </c>
      <c r="N35" s="407">
        <f>+'NEW...Tables 91-112'!D410</f>
        <v>8.621963719577602</v>
      </c>
      <c r="O35" s="333">
        <f>+'NEW...Tables 91-112'!D440</f>
        <v>9.2673518712922043</v>
      </c>
      <c r="P35" s="406">
        <f>+'NEW...Tables 91-112'!D380</f>
        <v>8.9408047086067164</v>
      </c>
      <c r="Q35" s="441">
        <f>+'NEW...Tables 87-90'!H35-'OLD...Tables'!H34</f>
        <v>1.8233062741341488</v>
      </c>
      <c r="R35" s="441">
        <f>+'NEW...Tables 87-90'!M35-'OLD...Tables'!M34</f>
        <v>2.0103754280827104</v>
      </c>
      <c r="S35" s="441">
        <f>+'NEW...Tables 87-90'!P35-'OLD...Tables'!P34</f>
        <v>-0.16929233526937892</v>
      </c>
      <c r="T35" s="333"/>
      <c r="U35" s="442"/>
      <c r="V35" s="442"/>
      <c r="W35" s="442"/>
      <c r="X35" s="298"/>
      <c r="Y35" s="333"/>
      <c r="Z35" s="333"/>
      <c r="AA35" s="333"/>
      <c r="AC35" s="298"/>
      <c r="AD35" s="333"/>
      <c r="AE35" s="333"/>
      <c r="AF35" s="333"/>
      <c r="AG35" s="442"/>
      <c r="AH35" s="442"/>
      <c r="AI35" s="442"/>
      <c r="AJ35" s="298"/>
      <c r="AK35" s="333"/>
      <c r="AL35" s="333"/>
      <c r="AM35" s="333"/>
    </row>
    <row r="36" spans="1:39" ht="15.75" customHeight="1">
      <c r="A36" s="298" t="s">
        <v>826</v>
      </c>
      <c r="B36" s="404">
        <f>+'NEW...Tables 91-112'!D42</f>
        <v>8.9677896658954506</v>
      </c>
      <c r="C36" s="404">
        <f>+'NEW...Tables 91-112'!D73</f>
        <v>35.597383749436148</v>
      </c>
      <c r="D36" s="404">
        <f>+'NEW...Tables 91-112'!D103</f>
        <v>22.2250645060669</v>
      </c>
      <c r="E36" s="404">
        <f>+'NEW...Tables 91-112'!D134</f>
        <v>19.732275656916212</v>
      </c>
      <c r="F36" s="404">
        <f>+'NEW...Tables 91-112'!D165</f>
        <v>23.295310197652558</v>
      </c>
      <c r="G36" s="404">
        <f>+'NEW...Tables 91-112'!D195</f>
        <v>23.083392946175024</v>
      </c>
      <c r="H36" s="409">
        <f>+'NEW...Tables 91-112'!D10</f>
        <v>19.404159034586794</v>
      </c>
      <c r="I36" s="406">
        <f>+'NEW...Tables 91-112'!D257</f>
        <v>0</v>
      </c>
      <c r="J36" s="404">
        <f>+'NEW...Tables 91-112'!D288</f>
        <v>28.7018583355777</v>
      </c>
      <c r="K36" s="404">
        <f>+'NEW...Tables 91-112'!D319</f>
        <v>31.061563459108143</v>
      </c>
      <c r="L36" s="404">
        <f>+'NEW...Tables 91-112'!D350</f>
        <v>25.820018218933061</v>
      </c>
      <c r="M36" s="406">
        <f>+'NEW...Tables 91-112'!D226</f>
        <v>27.371573971875605</v>
      </c>
      <c r="N36" s="407">
        <f>+'NEW...Tables 91-112'!D411</f>
        <v>0</v>
      </c>
      <c r="O36" s="333">
        <f>+'NEW...Tables 91-112'!D441</f>
        <v>0</v>
      </c>
      <c r="P36" s="406">
        <f>+'NEW...Tables 91-112'!D381</f>
        <v>0</v>
      </c>
      <c r="Q36" s="441">
        <f>+'NEW...Tables 87-90'!H36-'OLD...Tables'!H35</f>
        <v>0.51809131149429177</v>
      </c>
      <c r="R36" s="441">
        <f>+'NEW...Tables 87-90'!M36-'OLD...Tables'!M35</f>
        <v>0.15722059008502498</v>
      </c>
      <c r="S36" s="441">
        <f>+'NEW...Tables 87-90'!P36-'OLD...Tables'!P35</f>
        <v>0</v>
      </c>
      <c r="T36" s="333"/>
      <c r="U36" s="442"/>
      <c r="V36" s="442"/>
      <c r="W36" s="442"/>
      <c r="X36" s="298"/>
      <c r="Y36" s="333"/>
      <c r="Z36" s="333"/>
      <c r="AA36" s="333"/>
      <c r="AC36" s="298"/>
      <c r="AD36" s="333"/>
      <c r="AE36" s="333"/>
      <c r="AF36" s="333"/>
      <c r="AG36" s="442"/>
      <c r="AH36" s="442"/>
      <c r="AI36" s="442"/>
      <c r="AJ36" s="298"/>
      <c r="AK36" s="333"/>
      <c r="AL36" s="333"/>
      <c r="AM36" s="333"/>
    </row>
    <row r="37" spans="1:39" ht="15.75" customHeight="1">
      <c r="A37" s="298" t="s">
        <v>827</v>
      </c>
      <c r="B37" s="404">
        <f>+'NEW...Tables 91-112'!D43</f>
        <v>3.8693262566596394</v>
      </c>
      <c r="C37" s="404">
        <f>+'NEW...Tables 91-112'!D74</f>
        <v>0</v>
      </c>
      <c r="D37" s="404">
        <f>+'NEW...Tables 91-112'!D104</f>
        <v>7.6619226992246476</v>
      </c>
      <c r="E37" s="404">
        <f>+'NEW...Tables 91-112'!D135</f>
        <v>0</v>
      </c>
      <c r="F37" s="404">
        <f>+'NEW...Tables 91-112'!D166</f>
        <v>0</v>
      </c>
      <c r="G37" s="404">
        <f>+'NEW...Tables 91-112'!D196</f>
        <v>0</v>
      </c>
      <c r="H37" s="409">
        <f>+'NEW...Tables 91-112'!D11</f>
        <v>4.5779305245573925</v>
      </c>
      <c r="I37" s="406">
        <f>+'NEW...Tables 91-112'!D258</f>
        <v>0</v>
      </c>
      <c r="J37" s="404">
        <f>+'NEW...Tables 91-112'!D289</f>
        <v>0</v>
      </c>
      <c r="K37" s="404">
        <f>+'NEW...Tables 91-112'!D320</f>
        <v>19.613579456984453</v>
      </c>
      <c r="L37" s="404">
        <f>+'NEW...Tables 91-112'!D351</f>
        <v>0</v>
      </c>
      <c r="M37" s="406">
        <f>+'NEW...Tables 91-112'!D227</f>
        <v>19.613579456984453</v>
      </c>
      <c r="N37" s="407">
        <f>+'NEW...Tables 91-112'!D412</f>
        <v>0</v>
      </c>
      <c r="O37" s="333">
        <f>+'NEW...Tables 91-112'!D442</f>
        <v>0</v>
      </c>
      <c r="P37" s="406">
        <f>+'NEW...Tables 91-112'!D382</f>
        <v>0</v>
      </c>
      <c r="Q37" s="441">
        <f>+'NEW...Tables 87-90'!H37-'OLD...Tables'!H36</f>
        <v>0.64999846900042302</v>
      </c>
      <c r="R37" s="441">
        <f>+'NEW...Tables 87-90'!M37-'OLD...Tables'!M36</f>
        <v>3.0699993676180171</v>
      </c>
      <c r="S37" s="441">
        <f>+'NEW...Tables 87-90'!P37-'OLD...Tables'!P36</f>
        <v>0</v>
      </c>
      <c r="T37" s="333"/>
      <c r="U37" s="442"/>
      <c r="V37" s="443"/>
      <c r="W37" s="442"/>
      <c r="X37" s="298"/>
      <c r="Y37" s="333"/>
      <c r="Z37" s="333"/>
      <c r="AA37" s="333"/>
      <c r="AC37" s="298"/>
      <c r="AD37" s="333"/>
      <c r="AE37" s="333"/>
      <c r="AF37" s="333"/>
      <c r="AG37" s="442"/>
      <c r="AH37" s="442"/>
      <c r="AI37" s="442"/>
      <c r="AJ37" s="298"/>
      <c r="AK37" s="333"/>
      <c r="AL37" s="333"/>
      <c r="AM37" s="333"/>
    </row>
    <row r="38" spans="1:39" ht="15.75" customHeight="1">
      <c r="A38" s="298" t="s">
        <v>865</v>
      </c>
      <c r="B38" s="404">
        <f>+'NEW...Tables 91-112'!D44</f>
        <v>0</v>
      </c>
      <c r="C38" s="404">
        <f>+'NEW...Tables 91-112'!D75</f>
        <v>0</v>
      </c>
      <c r="D38" s="404">
        <f>+'NEW...Tables 91-112'!D105</f>
        <v>0</v>
      </c>
      <c r="E38" s="404">
        <f>+'NEW...Tables 91-112'!D136</f>
        <v>0</v>
      </c>
      <c r="F38" s="404">
        <f>+'NEW...Tables 91-112'!D167</f>
        <v>0</v>
      </c>
      <c r="G38" s="404">
        <f>+'NEW...Tables 91-112'!D197</f>
        <v>0</v>
      </c>
      <c r="H38" s="409">
        <f>+'NEW...Tables 91-112'!D12</f>
        <v>0</v>
      </c>
      <c r="I38" s="406">
        <f>+'NEW...Tables 91-112'!D259</f>
        <v>28.043118966789361</v>
      </c>
      <c r="J38" s="404">
        <f>+'NEW...Tables 91-112'!D290</f>
        <v>30.627067469913726</v>
      </c>
      <c r="K38" s="404">
        <f>+'NEW...Tables 91-112'!D321</f>
        <v>0</v>
      </c>
      <c r="L38" s="404">
        <f>+'NEW...Tables 91-112'!D352</f>
        <v>33.572677027729227</v>
      </c>
      <c r="M38" s="406">
        <f>+'NEW...Tables 91-112'!D228</f>
        <v>28.309738787946344</v>
      </c>
      <c r="N38" s="407">
        <f>+'NEW...Tables 91-112'!D413</f>
        <v>0</v>
      </c>
      <c r="O38" s="333">
        <f>+'NEW...Tables 91-112'!D443</f>
        <v>0</v>
      </c>
      <c r="P38" s="406">
        <f>+'NEW...Tables 91-112'!D383</f>
        <v>0</v>
      </c>
      <c r="Q38" s="441">
        <f>+'NEW...Tables 87-90'!H38-'OLD...Tables'!H37</f>
        <v>0</v>
      </c>
      <c r="R38" s="441">
        <f>+'NEW...Tables 87-90'!M38-'OLD...Tables'!M37</f>
        <v>2.0034124782167702</v>
      </c>
      <c r="S38" s="441">
        <f>+'NEW...Tables 87-90'!P38-'OLD...Tables'!P37</f>
        <v>0</v>
      </c>
      <c r="T38" s="333"/>
      <c r="U38" s="442"/>
      <c r="V38" s="442"/>
      <c r="W38" s="442"/>
      <c r="X38" s="298"/>
      <c r="Y38" s="333"/>
      <c r="Z38" s="333"/>
      <c r="AA38" s="333"/>
      <c r="AC38" s="298"/>
      <c r="AD38" s="333"/>
      <c r="AE38" s="333"/>
      <c r="AF38" s="333"/>
      <c r="AG38" s="442"/>
      <c r="AH38" s="442"/>
      <c r="AI38" s="442"/>
      <c r="AJ38" s="298"/>
      <c r="AK38" s="333"/>
      <c r="AL38" s="333"/>
      <c r="AM38" s="333"/>
    </row>
    <row r="39" spans="1:39" ht="15.75" customHeight="1">
      <c r="A39" s="298"/>
      <c r="B39" s="404"/>
      <c r="C39" s="404"/>
      <c r="D39" s="404"/>
      <c r="E39" s="404"/>
      <c r="F39" s="404"/>
      <c r="G39" s="404"/>
      <c r="H39" s="409"/>
      <c r="I39" s="406"/>
      <c r="J39" s="404"/>
      <c r="K39" s="404"/>
      <c r="L39" s="404"/>
      <c r="M39" s="406"/>
      <c r="N39" s="407"/>
      <c r="O39" s="333"/>
      <c r="P39" s="406"/>
      <c r="Q39" s="441"/>
      <c r="R39" s="441"/>
      <c r="S39" s="441"/>
      <c r="T39" s="333"/>
      <c r="U39" s="442"/>
      <c r="V39" s="442"/>
      <c r="W39" s="442"/>
      <c r="X39" s="298"/>
      <c r="Y39" s="333"/>
      <c r="Z39" s="333"/>
      <c r="AA39" s="333"/>
      <c r="AC39" s="298"/>
      <c r="AD39" s="333"/>
      <c r="AE39" s="333"/>
      <c r="AF39" s="333"/>
      <c r="AG39" s="442"/>
      <c r="AH39" s="442"/>
      <c r="AI39" s="442"/>
      <c r="AJ39" s="298"/>
      <c r="AK39" s="333"/>
      <c r="AL39" s="333"/>
      <c r="AM39" s="333"/>
    </row>
    <row r="40" spans="1:39" ht="15.75" customHeight="1">
      <c r="A40" s="298" t="s">
        <v>829</v>
      </c>
      <c r="B40" s="404">
        <f>+'NEW...Tables 91-112'!D46</f>
        <v>13.579895873621538</v>
      </c>
      <c r="C40" s="404">
        <f>+'NEW...Tables 91-112'!D77</f>
        <v>2.7184249545702852</v>
      </c>
      <c r="D40" s="404">
        <f>+'NEW...Tables 91-112'!D107</f>
        <v>24.456771586536199</v>
      </c>
      <c r="E40" s="404">
        <f>+'NEW...Tables 91-112'!D138</f>
        <v>19.123544357815469</v>
      </c>
      <c r="F40" s="404">
        <f>+'NEW...Tables 91-112'!D169</f>
        <v>14.462426466206379</v>
      </c>
      <c r="G40" s="404">
        <f>+'NEW...Tables 91-112'!D199</f>
        <v>16.563245272456822</v>
      </c>
      <c r="H40" s="409">
        <f>+'NEW...Tables 91-112'!D14</f>
        <v>17.691128712767576</v>
      </c>
      <c r="I40" s="406">
        <f>+'NEW...Tables 91-112'!D261</f>
        <v>23.504089373040085</v>
      </c>
      <c r="J40" s="404">
        <f>+'NEW...Tables 91-112'!D292</f>
        <v>0</v>
      </c>
      <c r="K40" s="404">
        <f>+'NEW...Tables 91-112'!D323</f>
        <v>0</v>
      </c>
      <c r="L40" s="404">
        <f>+'NEW...Tables 91-112'!D354</f>
        <v>0</v>
      </c>
      <c r="M40" s="406">
        <f>+'NEW...Tables 91-112'!D230</f>
        <v>23.504089373040085</v>
      </c>
      <c r="N40" s="407">
        <f>+'NEW...Tables 91-112'!D415</f>
        <v>36.54323368296442</v>
      </c>
      <c r="O40" s="333">
        <f>+'NEW...Tables 91-112'!D445</f>
        <v>0</v>
      </c>
      <c r="P40" s="406">
        <f>+'NEW...Tables 91-112'!D385</f>
        <v>36.54323368296442</v>
      </c>
      <c r="Q40" s="441">
        <f>+'NEW...Tables 87-90'!H40-'OLD...Tables'!H39</f>
        <v>1.6996598253226107</v>
      </c>
      <c r="R40" s="441">
        <f>+'NEW...Tables 87-90'!M40-'OLD...Tables'!M39</f>
        <v>2.9405148784556516</v>
      </c>
      <c r="S40" s="441">
        <f>+'NEW...Tables 87-90'!P40-'OLD...Tables'!P39</f>
        <v>2.6238770019428159</v>
      </c>
      <c r="T40" s="333"/>
      <c r="U40" s="442"/>
      <c r="V40" s="442"/>
      <c r="W40" s="442"/>
      <c r="X40" s="298"/>
      <c r="Y40" s="333"/>
      <c r="Z40" s="333"/>
      <c r="AA40" s="333"/>
      <c r="AC40" s="298"/>
      <c r="AD40" s="333"/>
      <c r="AE40" s="333"/>
      <c r="AF40" s="333"/>
      <c r="AG40" s="442"/>
      <c r="AH40" s="442"/>
      <c r="AI40" s="442"/>
      <c r="AJ40" s="298"/>
      <c r="AK40" s="333"/>
      <c r="AL40" s="333"/>
      <c r="AM40" s="333"/>
    </row>
    <row r="41" spans="1:39" ht="15.75" customHeight="1">
      <c r="A41" s="298" t="s">
        <v>830</v>
      </c>
      <c r="B41" s="404">
        <f>+'NEW...Tables 91-112'!D47</f>
        <v>10.858525222770734</v>
      </c>
      <c r="C41" s="404">
        <f>+'NEW...Tables 91-112'!D78</f>
        <v>0</v>
      </c>
      <c r="D41" s="404">
        <f>+'NEW...Tables 91-112'!D108</f>
        <v>21.597697806842486</v>
      </c>
      <c r="E41" s="404">
        <f>+'NEW...Tables 91-112'!D139</f>
        <v>29.889205590290548</v>
      </c>
      <c r="F41" s="404">
        <f>+'NEW...Tables 91-112'!D170</f>
        <v>0</v>
      </c>
      <c r="G41" s="404">
        <f>+'NEW...Tables 91-112'!D200</f>
        <v>0</v>
      </c>
      <c r="H41" s="409">
        <f>+'NEW...Tables 91-112'!D15</f>
        <v>17.450428646245534</v>
      </c>
      <c r="I41" s="406">
        <f>+'NEW...Tables 91-112'!D262</f>
        <v>0</v>
      </c>
      <c r="J41" s="404">
        <f>+'NEW...Tables 91-112'!D293</f>
        <v>35.451412637449359</v>
      </c>
      <c r="K41" s="404">
        <f>+'NEW...Tables 91-112'!D324</f>
        <v>47.118550850545077</v>
      </c>
      <c r="L41" s="404">
        <f>+'NEW...Tables 91-112'!D355</f>
        <v>48.441041269190876</v>
      </c>
      <c r="M41" s="406">
        <f>+'NEW...Tables 91-112'!D231</f>
        <v>43.63834078958358</v>
      </c>
      <c r="N41" s="407">
        <f>+'NEW...Tables 91-112'!D416</f>
        <v>31.418168723868206</v>
      </c>
      <c r="O41" s="333">
        <f>+'NEW...Tables 91-112'!D446</f>
        <v>0</v>
      </c>
      <c r="P41" s="406">
        <f>+'NEW...Tables 91-112'!D386</f>
        <v>31.418168723868206</v>
      </c>
      <c r="Q41" s="441">
        <f>+'NEW...Tables 87-90'!H41-'OLD...Tables'!H40</f>
        <v>1.7193187521786495</v>
      </c>
      <c r="R41" s="441">
        <f>+'NEW...Tables 87-90'!M41-'OLD...Tables'!M40</f>
        <v>2.9589540584682936</v>
      </c>
      <c r="S41" s="441">
        <f>+'NEW...Tables 87-90'!P41-'OLD...Tables'!P40</f>
        <v>-0.220302728899469</v>
      </c>
      <c r="T41" s="333"/>
      <c r="U41" s="442"/>
      <c r="V41" s="442"/>
      <c r="W41" s="442"/>
      <c r="X41" s="298"/>
      <c r="Y41" s="333"/>
      <c r="Z41" s="333"/>
      <c r="AA41" s="333"/>
      <c r="AC41" s="298"/>
      <c r="AD41" s="333"/>
      <c r="AE41" s="333"/>
      <c r="AF41" s="333"/>
      <c r="AG41" s="442"/>
      <c r="AH41" s="442"/>
      <c r="AI41" s="442"/>
      <c r="AJ41" s="298"/>
      <c r="AK41" s="333"/>
      <c r="AL41" s="333"/>
      <c r="AM41" s="333"/>
    </row>
    <row r="42" spans="1:39" ht="15.75" customHeight="1">
      <c r="A42" s="298" t="s">
        <v>831</v>
      </c>
      <c r="B42" s="404">
        <f>+'NEW...Tables 91-112'!D48</f>
        <v>3.5971223021582803</v>
      </c>
      <c r="C42" s="404">
        <f>+'NEW...Tables 91-112'!D79</f>
        <v>12.822164348653351</v>
      </c>
      <c r="D42" s="404">
        <f>+'NEW...Tables 91-112'!D109</f>
        <v>19.495821972693001</v>
      </c>
      <c r="E42" s="404">
        <f>+'NEW...Tables 91-112'!D140</f>
        <v>27.595977130614802</v>
      </c>
      <c r="F42" s="404">
        <f>+'NEW...Tables 91-112'!D171</f>
        <v>14.139344262295086</v>
      </c>
      <c r="G42" s="404">
        <f>+'NEW...Tables 91-112'!D201</f>
        <v>37.527272727272702</v>
      </c>
      <c r="H42" s="409">
        <f>+'NEW...Tables 91-112'!D16</f>
        <v>15.953149514508253</v>
      </c>
      <c r="I42" s="406">
        <f>+'NEW...Tables 91-112'!D263</f>
        <v>0</v>
      </c>
      <c r="J42" s="404">
        <f>+'NEW...Tables 91-112'!D294</f>
        <v>21.873872739737688</v>
      </c>
      <c r="K42" s="404">
        <f>+'NEW...Tables 91-112'!D325</f>
        <v>19.881840502347647</v>
      </c>
      <c r="L42" s="404">
        <f>+'NEW...Tables 91-112'!D356</f>
        <v>26.583353286734653</v>
      </c>
      <c r="M42" s="406">
        <f>+'NEW...Tables 91-112'!D232</f>
        <v>22.12801339739681</v>
      </c>
      <c r="N42" s="407">
        <f>+'NEW...Tables 91-112'!D417</f>
        <v>18.791040025491569</v>
      </c>
      <c r="O42" s="333">
        <f>+'NEW...Tables 91-112'!D447</f>
        <v>0</v>
      </c>
      <c r="P42" s="406">
        <f>+'NEW...Tables 91-112'!D387</f>
        <v>18.791040025491569</v>
      </c>
      <c r="Q42" s="441">
        <f>+'NEW...Tables 87-90'!H42-'OLD...Tables'!H41</f>
        <v>0.27927612574000271</v>
      </c>
      <c r="R42" s="441">
        <f>+'NEW...Tables 87-90'!M42-'OLD...Tables'!M41</f>
        <v>2.0245194796586254</v>
      </c>
      <c r="S42" s="441">
        <f>+'NEW...Tables 87-90'!P42-'OLD...Tables'!P41</f>
        <v>3.8407212476478332</v>
      </c>
      <c r="T42" s="333"/>
      <c r="U42" s="442"/>
      <c r="V42" s="442"/>
      <c r="W42" s="442"/>
      <c r="X42" s="298"/>
      <c r="Y42" s="333"/>
      <c r="Z42" s="333"/>
      <c r="AA42" s="333"/>
      <c r="AC42" s="298"/>
      <c r="AD42" s="333"/>
      <c r="AE42" s="333"/>
      <c r="AF42" s="333"/>
      <c r="AG42" s="442"/>
      <c r="AH42" s="442"/>
      <c r="AI42" s="442"/>
      <c r="AJ42" s="298"/>
      <c r="AK42" s="333"/>
      <c r="AL42" s="333"/>
      <c r="AM42" s="333"/>
    </row>
    <row r="43" spans="1:39" ht="15.75" customHeight="1">
      <c r="A43" s="298" t="s">
        <v>832</v>
      </c>
      <c r="B43" s="404">
        <f>+'NEW...Tables 91-112'!D49</f>
        <v>4.6878435965750871</v>
      </c>
      <c r="C43" s="404">
        <f>+'NEW...Tables 91-112'!D80</f>
        <v>11.055111721383099</v>
      </c>
      <c r="D43" s="404">
        <f>+'NEW...Tables 91-112'!D110</f>
        <v>12.925634508454237</v>
      </c>
      <c r="E43" s="404">
        <f>+'NEW...Tables 91-112'!D141</f>
        <v>17.652999680217615</v>
      </c>
      <c r="F43" s="404">
        <f>+'NEW...Tables 91-112'!D172</f>
        <v>21.18447703151584</v>
      </c>
      <c r="G43" s="404">
        <f>+'NEW...Tables 91-112'!D202</f>
        <v>0.14973328758149546</v>
      </c>
      <c r="H43" s="409">
        <f>+'NEW...Tables 91-112'!D17</f>
        <v>30.442981387346215</v>
      </c>
      <c r="I43" s="406">
        <f>+'NEW...Tables 91-112'!D264</f>
        <v>0</v>
      </c>
      <c r="J43" s="404">
        <f>+'NEW...Tables 91-112'!D295</f>
        <v>18.333323013160282</v>
      </c>
      <c r="K43" s="404">
        <f>+'NEW...Tables 91-112'!D326</f>
        <v>25.703160628083399</v>
      </c>
      <c r="L43" s="404">
        <f>+'NEW...Tables 91-112'!D357</f>
        <v>26.199272242437711</v>
      </c>
      <c r="M43" s="406">
        <f>+'NEW...Tables 91-112'!D233</f>
        <v>20.165730711304903</v>
      </c>
      <c r="N43" s="407">
        <f>+'NEW...Tables 91-112'!D418</f>
        <v>0</v>
      </c>
      <c r="O43" s="333">
        <f>+'NEW...Tables 91-112'!D448</f>
        <v>0</v>
      </c>
      <c r="P43" s="406">
        <f>+'NEW...Tables 91-112'!D388</f>
        <v>0</v>
      </c>
      <c r="Q43" s="441">
        <f>+'NEW...Tables 87-90'!H43-'OLD...Tables'!H42</f>
        <v>0.92380219104505201</v>
      </c>
      <c r="R43" s="441">
        <f>+'NEW...Tables 87-90'!M43-'OLD...Tables'!M42</f>
        <v>1.1519348850004576</v>
      </c>
      <c r="S43" s="441">
        <f>+'NEW...Tables 87-90'!P43-'OLD...Tables'!P42</f>
        <v>0</v>
      </c>
      <c r="T43" s="333"/>
      <c r="U43" s="443"/>
      <c r="V43" s="442"/>
      <c r="W43" s="442"/>
      <c r="X43" s="298"/>
      <c r="Y43" s="333"/>
      <c r="Z43" s="333"/>
      <c r="AA43" s="333"/>
      <c r="AC43" s="298"/>
      <c r="AD43" s="333"/>
      <c r="AE43" s="333"/>
      <c r="AF43" s="333"/>
      <c r="AG43" s="442"/>
      <c r="AH43" s="442"/>
      <c r="AI43" s="442"/>
      <c r="AJ43" s="298"/>
      <c r="AK43" s="333"/>
      <c r="AL43" s="333"/>
      <c r="AM43" s="333"/>
    </row>
    <row r="44" spans="1:39" ht="15.75" customHeight="1">
      <c r="A44" s="298"/>
      <c r="B44" s="404"/>
      <c r="C44" s="404"/>
      <c r="D44" s="404"/>
      <c r="E44" s="404"/>
      <c r="F44" s="404"/>
      <c r="G44" s="404"/>
      <c r="H44" s="409"/>
      <c r="I44" s="406"/>
      <c r="J44" s="404"/>
      <c r="K44" s="404"/>
      <c r="L44" s="404"/>
      <c r="M44" s="406"/>
      <c r="N44" s="407"/>
      <c r="O44" s="333"/>
      <c r="P44" s="406"/>
      <c r="Q44" s="441"/>
      <c r="R44" s="441"/>
      <c r="S44" s="441"/>
      <c r="T44" s="333"/>
      <c r="U44" s="443"/>
      <c r="V44" s="442"/>
      <c r="W44" s="442"/>
      <c r="X44" s="298"/>
      <c r="Y44" s="333"/>
      <c r="Z44" s="333"/>
      <c r="AA44" s="333"/>
      <c r="AC44" s="298"/>
      <c r="AD44" s="333"/>
      <c r="AE44" s="333"/>
      <c r="AF44" s="333"/>
      <c r="AG44" s="442"/>
      <c r="AH44" s="442"/>
      <c r="AI44" s="442"/>
      <c r="AJ44" s="298"/>
      <c r="AK44" s="333"/>
      <c r="AL44" s="333"/>
      <c r="AM44" s="333"/>
    </row>
    <row r="45" spans="1:39" ht="15.75" customHeight="1">
      <c r="A45" s="298" t="s">
        <v>880</v>
      </c>
      <c r="B45" s="404">
        <f>+'NEW...Tables 91-112'!D51</f>
        <v>14.935573108788182</v>
      </c>
      <c r="C45" s="404">
        <f>+'NEW...Tables 91-112'!D82</f>
        <v>30.900603664301819</v>
      </c>
      <c r="D45" s="404">
        <f>+'NEW...Tables 91-112'!D112</f>
        <v>0</v>
      </c>
      <c r="E45" s="404">
        <f>+'NEW...Tables 91-112'!D143</f>
        <v>24.413373081917445</v>
      </c>
      <c r="F45" s="404">
        <f>+'NEW...Tables 91-112'!D174</f>
        <v>52.48878414447158</v>
      </c>
      <c r="G45" s="404">
        <f>+'NEW...Tables 91-112'!D204</f>
        <v>0</v>
      </c>
      <c r="H45" s="409">
        <f>+'NEW...Tables 91-112'!D19</f>
        <v>18.791402811309673</v>
      </c>
      <c r="I45" s="406">
        <f>+'NEW...Tables 91-112'!D266</f>
        <v>0</v>
      </c>
      <c r="J45" s="404">
        <f>+'NEW...Tables 91-112'!D297</f>
        <v>28.215926720679057</v>
      </c>
      <c r="K45" s="404">
        <f>+'NEW...Tables 91-112'!D328</f>
        <v>26.259047755678385</v>
      </c>
      <c r="L45" s="404">
        <f>+'NEW...Tables 91-112'!D359</f>
        <v>24.475975491776847</v>
      </c>
      <c r="M45" s="406">
        <f>+'NEW...Tables 91-112'!D235</f>
        <v>27.216015052127201</v>
      </c>
      <c r="N45" s="407">
        <f>+'NEW...Tables 91-112'!D420</f>
        <v>0</v>
      </c>
      <c r="O45" s="333">
        <f>+'NEW...Tables 91-112'!D450</f>
        <v>0</v>
      </c>
      <c r="P45" s="406">
        <f>+'NEW...Tables 91-112'!D390</f>
        <v>0</v>
      </c>
      <c r="Q45" s="441">
        <f>+'NEW...Tables 87-90'!H45-'OLD...Tables'!H44</f>
        <v>1.8985403106756067</v>
      </c>
      <c r="R45" s="441">
        <f>+'NEW...Tables 87-90'!M45-'OLD...Tables'!M44</f>
        <v>1.4044695017328976</v>
      </c>
      <c r="S45" s="441">
        <f>+'NEW...Tables 87-90'!P45-'OLD...Tables'!P44</f>
        <v>0</v>
      </c>
      <c r="T45" s="333"/>
      <c r="U45" s="442"/>
      <c r="V45" s="442"/>
      <c r="W45" s="442"/>
      <c r="X45" s="298"/>
      <c r="Y45" s="333"/>
      <c r="Z45" s="333"/>
      <c r="AA45" s="333"/>
      <c r="AC45" s="298"/>
      <c r="AD45" s="333"/>
      <c r="AE45" s="333"/>
      <c r="AF45" s="333"/>
      <c r="AG45" s="442"/>
      <c r="AH45" s="442"/>
      <c r="AI45" s="442"/>
      <c r="AJ45" s="298"/>
      <c r="AK45" s="333"/>
      <c r="AL45" s="333"/>
      <c r="AM45" s="333"/>
    </row>
    <row r="46" spans="1:39" ht="15.75" customHeight="1">
      <c r="A46" s="298" t="s">
        <v>834</v>
      </c>
      <c r="B46" s="404">
        <f>+'NEW...Tables 91-112'!D52</f>
        <v>14.266971054517064</v>
      </c>
      <c r="C46" s="404">
        <f>+'NEW...Tables 91-112'!D83</f>
        <v>21.463436984543954</v>
      </c>
      <c r="D46" s="404">
        <f>+'NEW...Tables 91-112'!D113</f>
        <v>16.676404756450079</v>
      </c>
      <c r="E46" s="404">
        <f>+'NEW...Tables 91-112'!D144</f>
        <v>38.737147412987298</v>
      </c>
      <c r="F46" s="404">
        <f>+'NEW...Tables 91-112'!D175</f>
        <v>25.90328492109078</v>
      </c>
      <c r="G46" s="404">
        <f>+'NEW...Tables 91-112'!D205</f>
        <v>7.3108616322799875</v>
      </c>
      <c r="H46" s="409">
        <f>+'NEW...Tables 91-112'!D20</f>
        <v>17.053644794430941</v>
      </c>
      <c r="I46" s="406">
        <f>+'NEW...Tables 91-112'!D267</f>
        <v>0</v>
      </c>
      <c r="J46" s="404">
        <f>+'NEW...Tables 91-112'!D298</f>
        <v>44.272406020699933</v>
      </c>
      <c r="K46" s="404">
        <f>+'NEW...Tables 91-112'!D329</f>
        <v>50.885575203273476</v>
      </c>
      <c r="L46" s="404">
        <f>+'NEW...Tables 91-112'!D360</f>
        <v>52.508787389400098</v>
      </c>
      <c r="M46" s="406">
        <f>+'NEW...Tables 91-112'!D236</f>
        <v>48.071291222639402</v>
      </c>
      <c r="N46" s="407">
        <f>+'NEW...Tables 91-112'!D421</f>
        <v>0</v>
      </c>
      <c r="O46" s="333">
        <f>+'NEW...Tables 91-112'!D451</f>
        <v>0</v>
      </c>
      <c r="P46" s="406">
        <f>+'NEW...Tables 91-112'!D391</f>
        <v>0</v>
      </c>
      <c r="Q46" s="441">
        <f>+'NEW...Tables 87-90'!H46-'OLD...Tables'!H45</f>
        <v>1.3998424059981325</v>
      </c>
      <c r="R46" s="441">
        <f>+'NEW...Tables 87-90'!M46-'OLD...Tables'!M45</f>
        <v>2.5238282252415445</v>
      </c>
      <c r="S46" s="441">
        <f>+'NEW...Tables 87-90'!P46-'OLD...Tables'!P45</f>
        <v>0</v>
      </c>
      <c r="T46" s="333"/>
      <c r="U46" s="442"/>
      <c r="V46" s="442"/>
      <c r="W46" s="442"/>
      <c r="X46" s="298"/>
      <c r="Y46" s="333"/>
      <c r="Z46" s="333"/>
      <c r="AA46" s="333"/>
      <c r="AC46" s="298"/>
      <c r="AD46" s="333"/>
      <c r="AE46" s="333"/>
      <c r="AF46" s="333"/>
      <c r="AG46" s="442"/>
      <c r="AH46" s="442"/>
      <c r="AI46" s="442"/>
      <c r="AJ46" s="298"/>
      <c r="AK46" s="333"/>
      <c r="AL46" s="333"/>
      <c r="AM46" s="333"/>
    </row>
    <row r="47" spans="1:39" ht="15.75" customHeight="1">
      <c r="A47" s="298" t="s">
        <v>835</v>
      </c>
      <c r="B47" s="404">
        <f>+'NEW...Tables 91-112'!D53</f>
        <v>14.409630535877769</v>
      </c>
      <c r="C47" s="404">
        <f>+'NEW...Tables 91-112'!D84</f>
        <v>0</v>
      </c>
      <c r="D47" s="404">
        <f>+'NEW...Tables 91-112'!D114</f>
        <v>25.815637000017485</v>
      </c>
      <c r="E47" s="404">
        <f>+'NEW...Tables 91-112'!D145</f>
        <v>32.745487826480598</v>
      </c>
      <c r="F47" s="404">
        <f>+'NEW...Tables 91-112'!D176</f>
        <v>25.558798719518872</v>
      </c>
      <c r="G47" s="404">
        <f>+'NEW...Tables 91-112'!D206</f>
        <v>25.8834662505779</v>
      </c>
      <c r="H47" s="409">
        <f>+'NEW...Tables 91-112'!D21</f>
        <v>20.519713719617634</v>
      </c>
      <c r="I47" s="406">
        <f>+'NEW...Tables 91-112'!D268</f>
        <v>34.224133156784461</v>
      </c>
      <c r="J47" s="404">
        <f>+'NEW...Tables 91-112'!D299</f>
        <v>26.368801747383134</v>
      </c>
      <c r="K47" s="404">
        <f>+'NEW...Tables 91-112'!D330</f>
        <v>31.894455487581293</v>
      </c>
      <c r="L47" s="404">
        <f>+'NEW...Tables 91-112'!D361</f>
        <v>31.750123915544155</v>
      </c>
      <c r="M47" s="406">
        <f>+'NEW...Tables 91-112'!D237</f>
        <v>29.849291615619013</v>
      </c>
      <c r="N47" s="407">
        <f>+'NEW...Tables 91-112'!D422</f>
        <v>0</v>
      </c>
      <c r="O47" s="333">
        <f>+'NEW...Tables 91-112'!D452</f>
        <v>0</v>
      </c>
      <c r="P47" s="406">
        <f>+'NEW...Tables 91-112'!D392</f>
        <v>0</v>
      </c>
      <c r="Q47" s="441">
        <f>+'NEW...Tables 87-90'!H47-'OLD...Tables'!H46</f>
        <v>1.576087707436443</v>
      </c>
      <c r="R47" s="441">
        <f>+'NEW...Tables 87-90'!M47-'OLD...Tables'!M46</f>
        <v>-0.79335563508396589</v>
      </c>
      <c r="S47" s="441">
        <f>+'NEW...Tables 87-90'!P47-'OLD...Tables'!P46</f>
        <v>0</v>
      </c>
      <c r="T47" s="333"/>
      <c r="U47" s="442"/>
      <c r="V47" s="442"/>
      <c r="W47" s="442"/>
      <c r="X47" s="298"/>
      <c r="Y47" s="333"/>
      <c r="Z47" s="333"/>
      <c r="AA47" s="333"/>
      <c r="AC47" s="298"/>
      <c r="AD47" s="333"/>
      <c r="AE47" s="333"/>
      <c r="AF47" s="333"/>
      <c r="AG47" s="442"/>
      <c r="AH47" s="442"/>
      <c r="AI47" s="442"/>
      <c r="AJ47" s="298"/>
      <c r="AK47" s="333"/>
      <c r="AL47" s="333"/>
      <c r="AM47" s="333"/>
    </row>
    <row r="48" spans="1:39" ht="15.75" customHeight="1">
      <c r="A48" s="298" t="s">
        <v>836</v>
      </c>
      <c r="B48" s="404">
        <f>+'NEW...Tables 91-112'!D54</f>
        <v>10.36329619034877</v>
      </c>
      <c r="C48" s="404">
        <f>+'NEW...Tables 91-112'!D85</f>
        <v>0</v>
      </c>
      <c r="D48" s="404">
        <f>+'NEW...Tables 91-112'!D115</f>
        <v>7.8773356037945952</v>
      </c>
      <c r="E48" s="404">
        <f>+'NEW...Tables 91-112'!D146</f>
        <v>17.353091221594894</v>
      </c>
      <c r="F48" s="404">
        <f>+'NEW...Tables 91-112'!D177</f>
        <v>8.1708842490137581</v>
      </c>
      <c r="G48" s="404">
        <f>+'NEW...Tables 91-112'!D207</f>
        <v>21.131890730000801</v>
      </c>
      <c r="H48" s="409">
        <f>+'NEW...Tables 91-112'!D22</f>
        <v>12.006505130126788</v>
      </c>
      <c r="I48" s="406">
        <f>+'NEW...Tables 91-112'!D269</f>
        <v>0</v>
      </c>
      <c r="J48" s="404">
        <f>+'NEW...Tables 91-112'!D300</f>
        <v>36.583909977229013</v>
      </c>
      <c r="K48" s="404">
        <f>+'NEW...Tables 91-112'!D331</f>
        <v>33.981118878756043</v>
      </c>
      <c r="L48" s="404">
        <f>+'NEW...Tables 91-112'!D362</f>
        <v>24.994971893738217</v>
      </c>
      <c r="M48" s="406">
        <f>+'NEW...Tables 91-112'!D238</f>
        <v>33.752318460794221</v>
      </c>
      <c r="N48" s="407">
        <f>+'NEW...Tables 91-112'!D423</f>
        <v>0</v>
      </c>
      <c r="O48" s="333">
        <f>+'NEW...Tables 91-112'!D453</f>
        <v>0</v>
      </c>
      <c r="P48" s="406">
        <f>+'NEW...Tables 91-112'!D393</f>
        <v>0</v>
      </c>
      <c r="Q48" s="441">
        <f>+'NEW...Tables 87-90'!H48-'OLD...Tables'!H47</f>
        <v>2.243211617787269</v>
      </c>
      <c r="R48" s="441">
        <f>+'NEW...Tables 87-90'!M48-'OLD...Tables'!M47</f>
        <v>2.081076048379817</v>
      </c>
      <c r="S48" s="441">
        <f>+'NEW...Tables 87-90'!P48-'OLD...Tables'!P47</f>
        <v>0</v>
      </c>
      <c r="T48" s="333"/>
      <c r="U48" s="442"/>
      <c r="V48" s="442"/>
      <c r="W48" s="442"/>
      <c r="X48" s="298"/>
      <c r="Y48" s="333"/>
      <c r="Z48" s="333"/>
      <c r="AA48" s="333"/>
    </row>
    <row r="49" spans="1:40" ht="15.75" customHeight="1">
      <c r="A49" s="298"/>
      <c r="B49" s="404"/>
      <c r="C49" s="404"/>
      <c r="D49" s="404"/>
      <c r="E49" s="404"/>
      <c r="F49" s="404"/>
      <c r="G49" s="404"/>
      <c r="H49" s="409"/>
      <c r="I49" s="406"/>
      <c r="J49" s="404"/>
      <c r="K49" s="404"/>
      <c r="L49" s="404"/>
      <c r="M49" s="406"/>
      <c r="N49" s="407"/>
      <c r="O49" s="333"/>
      <c r="P49" s="406"/>
      <c r="Q49" s="441"/>
      <c r="R49" s="441"/>
      <c r="S49" s="441"/>
      <c r="T49" s="333"/>
      <c r="U49" s="442"/>
      <c r="V49" s="442"/>
      <c r="W49" s="442"/>
      <c r="X49" s="298"/>
      <c r="Y49" s="333"/>
      <c r="Z49" s="333"/>
      <c r="AA49" s="333"/>
    </row>
    <row r="50" spans="1:40" ht="15.75" customHeight="1">
      <c r="A50" s="298" t="s">
        <v>837</v>
      </c>
      <c r="B50" s="404">
        <f>+'NEW...Tables 91-112'!D56</f>
        <v>15.717134476481977</v>
      </c>
      <c r="C50" s="404">
        <f>+'NEW...Tables 91-112'!D87</f>
        <v>22.014682975593232</v>
      </c>
      <c r="D50" s="404">
        <f>+'NEW...Tables 91-112'!D117</f>
        <v>28.735152969790889</v>
      </c>
      <c r="E50" s="404">
        <f>+'NEW...Tables 91-112'!D148</f>
        <v>0</v>
      </c>
      <c r="F50" s="404">
        <f>+'NEW...Tables 91-112'!D179</f>
        <v>18.038812382476618</v>
      </c>
      <c r="G50" s="404">
        <f>+'NEW...Tables 91-112'!D209</f>
        <v>0</v>
      </c>
      <c r="H50" s="409">
        <f>+'NEW...Tables 91-112'!D24</f>
        <v>21.359576737654425</v>
      </c>
      <c r="I50" s="406">
        <f>+'NEW...Tables 91-112'!D271</f>
        <v>0</v>
      </c>
      <c r="J50" s="404">
        <f>+'NEW...Tables 91-112'!D302</f>
        <v>28.028902800524722</v>
      </c>
      <c r="K50" s="404">
        <f>+'NEW...Tables 91-112'!D333</f>
        <v>30.019412460189812</v>
      </c>
      <c r="L50" s="404">
        <f>+'NEW...Tables 91-112'!D364</f>
        <v>30.61797205386549</v>
      </c>
      <c r="M50" s="406">
        <f>+'NEW...Tables 91-112'!D240</f>
        <v>28.994477694274238</v>
      </c>
      <c r="N50" s="407">
        <f>+'NEW...Tables 91-112'!D425</f>
        <v>0</v>
      </c>
      <c r="O50" s="333">
        <f>+'NEW...Tables 91-112'!D455</f>
        <v>0</v>
      </c>
      <c r="P50" s="406">
        <f>+'NEW...Tables 91-112'!D395</f>
        <v>0</v>
      </c>
      <c r="Q50" s="441">
        <f>+'NEW...Tables 87-90'!H50-'OLD...Tables'!H49</f>
        <v>1.7818551953517492</v>
      </c>
      <c r="R50" s="441">
        <f>+'NEW...Tables 87-90'!M50-'OLD...Tables'!M49</f>
        <v>2.3024321013968923</v>
      </c>
      <c r="S50" s="441">
        <f>+'NEW...Tables 87-90'!P50-'OLD...Tables'!P49</f>
        <v>0</v>
      </c>
      <c r="T50" s="333"/>
      <c r="U50" s="442"/>
      <c r="V50" s="442"/>
      <c r="W50" s="442"/>
      <c r="X50" s="298"/>
      <c r="Y50" s="333"/>
      <c r="Z50" s="333"/>
      <c r="AA50" s="333"/>
    </row>
    <row r="51" spans="1:40" s="345" customFormat="1" ht="16.5" customHeight="1">
      <c r="A51" s="298" t="s">
        <v>838</v>
      </c>
      <c r="B51" s="404">
        <f>+'NEW...Tables 91-112'!D57</f>
        <v>18.076877071027926</v>
      </c>
      <c r="C51" s="404">
        <f>+'NEW...Tables 91-112'!D88</f>
        <v>15.560445238764071</v>
      </c>
      <c r="D51" s="404">
        <f>+'NEW...Tables 91-112'!D118</f>
        <v>24.695204065142836</v>
      </c>
      <c r="E51" s="404">
        <f>+'NEW...Tables 91-112'!D149</f>
        <v>54.077036551385021</v>
      </c>
      <c r="F51" s="404">
        <f>+'NEW...Tables 91-112'!D180</f>
        <v>39.648610295985499</v>
      </c>
      <c r="G51" s="404">
        <f>+'NEW...Tables 91-112'!D210</f>
        <v>0</v>
      </c>
      <c r="H51" s="409">
        <f>+'NEW...Tables 91-112'!D25</f>
        <v>20.955766330398156</v>
      </c>
      <c r="I51" s="406">
        <f>+'NEW...Tables 91-112'!D272</f>
        <v>25.51021807280727</v>
      </c>
      <c r="J51" s="404">
        <f>+'NEW...Tables 91-112'!D303</f>
        <v>29.821545584310375</v>
      </c>
      <c r="K51" s="404">
        <f>+'NEW...Tables 91-112'!D334</f>
        <v>31.622045658220873</v>
      </c>
      <c r="L51" s="404">
        <f>+'NEW...Tables 91-112'!D365</f>
        <v>38.804679719391942</v>
      </c>
      <c r="M51" s="406">
        <f>+'NEW...Tables 91-112'!D241</f>
        <v>30.224341755245657</v>
      </c>
      <c r="N51" s="407">
        <f>+'NEW...Tables 91-112'!D426</f>
        <v>0</v>
      </c>
      <c r="O51" s="333">
        <f>+'NEW...Tables 91-112'!D456</f>
        <v>0</v>
      </c>
      <c r="P51" s="406">
        <f>+'NEW...Tables 91-112'!D396</f>
        <v>0</v>
      </c>
      <c r="Q51" s="441">
        <f>+'NEW...Tables 87-90'!H51-'OLD...Tables'!H50</f>
        <v>1.9527099750877071</v>
      </c>
      <c r="R51" s="441">
        <f>+'NEW...Tables 87-90'!M51-'OLD...Tables'!M50</f>
        <v>2.3869629549802553</v>
      </c>
      <c r="S51" s="441">
        <f>+'NEW...Tables 87-90'!P51-'OLD...Tables'!P50</f>
        <v>0</v>
      </c>
      <c r="T51" s="333"/>
      <c r="U51" s="442"/>
      <c r="V51" s="442"/>
      <c r="W51" s="442"/>
      <c r="X51" s="298"/>
      <c r="Y51" s="333"/>
      <c r="Z51" s="333"/>
      <c r="AA51" s="333"/>
      <c r="AB51" s="174"/>
      <c r="AC51" s="174"/>
      <c r="AD51" s="174"/>
      <c r="AE51" s="174"/>
      <c r="AF51" s="174"/>
      <c r="AG51" s="174"/>
      <c r="AH51" s="174"/>
      <c r="AI51" s="174"/>
      <c r="AJ51" s="174"/>
      <c r="AK51" s="174"/>
      <c r="AL51" s="174"/>
      <c r="AM51" s="174"/>
      <c r="AN51" s="174"/>
    </row>
    <row r="52" spans="1:40" s="345" customFormat="1" ht="14.25" customHeight="1">
      <c r="A52" s="298" t="s">
        <v>839</v>
      </c>
      <c r="B52" s="404">
        <f>+'NEW...Tables 91-112'!D58</f>
        <v>10.663423117546616</v>
      </c>
      <c r="C52" s="404">
        <f>+'NEW...Tables 91-112'!D89</f>
        <v>0.39690946977722114</v>
      </c>
      <c r="D52" s="404">
        <f>+'NEW...Tables 91-112'!D119</f>
        <v>9.4312248595622297</v>
      </c>
      <c r="E52" s="404">
        <f>+'NEW...Tables 91-112'!D150</f>
        <v>0</v>
      </c>
      <c r="F52" s="404">
        <f>+'NEW...Tables 91-112'!D181</f>
        <v>0</v>
      </c>
      <c r="G52" s="404">
        <f>+'NEW...Tables 91-112'!D211</f>
        <v>24.852709497809524</v>
      </c>
      <c r="H52" s="409">
        <f>+'NEW...Tables 91-112'!D26</f>
        <v>9.7707482473826435</v>
      </c>
      <c r="I52" s="406">
        <f>+'NEW...Tables 91-112'!D273</f>
        <v>0</v>
      </c>
      <c r="J52" s="404">
        <f>+'NEW...Tables 91-112'!D304</f>
        <v>28.924798610776136</v>
      </c>
      <c r="K52" s="404">
        <f>+'NEW...Tables 91-112'!D335</f>
        <v>32.957034929649346</v>
      </c>
      <c r="L52" s="404">
        <f>+'NEW...Tables 91-112'!D366</f>
        <v>38.574732408871888</v>
      </c>
      <c r="M52" s="406">
        <f>+'NEW...Tables 91-112'!D242</f>
        <v>31.284732281598146</v>
      </c>
      <c r="N52" s="407">
        <f>+'NEW...Tables 91-112'!D427</f>
        <v>0</v>
      </c>
      <c r="O52" s="333">
        <f>+'NEW...Tables 91-112'!D457</f>
        <v>0</v>
      </c>
      <c r="P52" s="406">
        <f>+'NEW...Tables 91-112'!D397</f>
        <v>0</v>
      </c>
      <c r="Q52" s="441">
        <f>+'NEW...Tables 87-90'!H52-'OLD...Tables'!H51</f>
        <v>1.0439790143649841</v>
      </c>
      <c r="R52" s="441">
        <f>+'NEW...Tables 87-90'!M52-'OLD...Tables'!M51</f>
        <v>1.3638898125074554</v>
      </c>
      <c r="S52" s="441">
        <f>+'NEW...Tables 87-90'!P52-'OLD...Tables'!P51</f>
        <v>0</v>
      </c>
      <c r="T52" s="333"/>
      <c r="U52" s="442"/>
      <c r="V52" s="442"/>
      <c r="W52" s="442"/>
      <c r="X52" s="298"/>
      <c r="Y52" s="333"/>
      <c r="Z52" s="333"/>
      <c r="AA52" s="333"/>
      <c r="AB52" s="174"/>
      <c r="AC52" s="174"/>
      <c r="AD52" s="174"/>
      <c r="AE52" s="174"/>
      <c r="AF52" s="174"/>
      <c r="AG52" s="174"/>
      <c r="AH52" s="174"/>
      <c r="AI52" s="174"/>
      <c r="AJ52" s="174"/>
      <c r="AK52" s="174"/>
      <c r="AL52" s="174"/>
      <c r="AM52" s="174"/>
      <c r="AN52" s="174"/>
    </row>
    <row r="53" spans="1:40" s="345" customFormat="1" ht="15" customHeight="1">
      <c r="A53" s="298" t="s">
        <v>840</v>
      </c>
      <c r="B53" s="404">
        <f>+'NEW...Tables 91-112'!D59</f>
        <v>11.676187889005185</v>
      </c>
      <c r="C53" s="404">
        <f>+'NEW...Tables 91-112'!D90</f>
        <v>0</v>
      </c>
      <c r="D53" s="404">
        <f>+'NEW...Tables 91-112'!D120</f>
        <v>17.708978810801543</v>
      </c>
      <c r="E53" s="404">
        <f>+'NEW...Tables 91-112'!D151</f>
        <v>0</v>
      </c>
      <c r="F53" s="404">
        <f>+'NEW...Tables 91-112'!D182</f>
        <v>16.806103355903456</v>
      </c>
      <c r="G53" s="404">
        <f>+'NEW...Tables 91-112'!D212</f>
        <v>28.08151261451091</v>
      </c>
      <c r="H53" s="409">
        <f>+'NEW...Tables 91-112'!D27</f>
        <v>16.085937672711733</v>
      </c>
      <c r="I53" s="406">
        <f>+'NEW...Tables 91-112'!D274</f>
        <v>31.7985677561513</v>
      </c>
      <c r="J53" s="404">
        <f>+'NEW...Tables 91-112'!D305</f>
        <v>0</v>
      </c>
      <c r="K53" s="404">
        <f>+'NEW...Tables 91-112'!D336</f>
        <v>0</v>
      </c>
      <c r="L53" s="404">
        <f>+'NEW...Tables 91-112'!D367</f>
        <v>30.867978234163303</v>
      </c>
      <c r="M53" s="406">
        <f>+'NEW...Tables 91-112'!D243</f>
        <v>31.087373544698686</v>
      </c>
      <c r="N53" s="407">
        <f>+'NEW...Tables 91-112'!D428</f>
        <v>0</v>
      </c>
      <c r="O53" s="333">
        <f>+'NEW...Tables 91-112'!D458</f>
        <v>0</v>
      </c>
      <c r="P53" s="406">
        <f>+'NEW...Tables 91-112'!D398</f>
        <v>0</v>
      </c>
      <c r="Q53" s="441">
        <f>+'NEW...Tables 87-90'!H53-'OLD...Tables'!H52</f>
        <v>1.4216416592503229</v>
      </c>
      <c r="R53" s="441">
        <f>+'NEW...Tables 87-90'!M53-'OLD...Tables'!M52</f>
        <v>3.8666722664979112</v>
      </c>
      <c r="S53" s="441">
        <f>+'NEW...Tables 87-90'!P53-'OLD...Tables'!P52</f>
        <v>0</v>
      </c>
      <c r="T53" s="333"/>
      <c r="U53" s="442"/>
      <c r="V53" s="442"/>
      <c r="W53" s="442"/>
      <c r="X53" s="298"/>
      <c r="Y53" s="333"/>
      <c r="Z53" s="333"/>
      <c r="AA53" s="333"/>
      <c r="AB53" s="174"/>
      <c r="AC53" s="174"/>
      <c r="AD53" s="174"/>
      <c r="AE53" s="174"/>
      <c r="AF53" s="174"/>
      <c r="AG53" s="174"/>
      <c r="AH53" s="174"/>
      <c r="AI53" s="174"/>
      <c r="AJ53" s="174"/>
      <c r="AK53" s="174"/>
      <c r="AL53" s="174"/>
      <c r="AM53" s="174"/>
      <c r="AN53" s="174"/>
    </row>
    <row r="54" spans="1:40" s="345" customFormat="1" ht="28.5" customHeight="1">
      <c r="A54" s="451" t="s">
        <v>921</v>
      </c>
      <c r="B54" s="451"/>
      <c r="C54" s="451"/>
      <c r="D54" s="451"/>
      <c r="E54" s="451"/>
      <c r="F54" s="451"/>
      <c r="G54" s="451"/>
      <c r="H54" s="451"/>
      <c r="I54" s="451"/>
      <c r="J54" s="451"/>
      <c r="K54" s="451"/>
      <c r="L54" s="451"/>
      <c r="M54" s="451"/>
      <c r="N54" s="451"/>
      <c r="O54" s="451"/>
      <c r="P54" s="451"/>
    </row>
    <row r="55" spans="1:40" s="345" customFormat="1" ht="27" customHeight="1">
      <c r="A55" s="452" t="s">
        <v>912</v>
      </c>
      <c r="B55" s="453"/>
      <c r="C55" s="453"/>
      <c r="D55" s="453"/>
      <c r="E55" s="453"/>
      <c r="F55" s="453"/>
      <c r="G55" s="453"/>
      <c r="H55" s="453"/>
      <c r="I55" s="453"/>
      <c r="J55" s="453"/>
      <c r="K55" s="453"/>
      <c r="L55" s="453"/>
      <c r="M55" s="453"/>
      <c r="N55" s="453"/>
      <c r="O55" s="453"/>
      <c r="P55" s="453"/>
    </row>
    <row r="56" spans="1:40" s="298" customFormat="1" ht="3" customHeight="1">
      <c r="A56" s="344"/>
      <c r="B56" s="386"/>
      <c r="C56" s="386"/>
      <c r="D56" s="386"/>
      <c r="E56" s="386"/>
      <c r="F56" s="386"/>
      <c r="G56" s="386"/>
      <c r="H56" s="386"/>
      <c r="I56" s="386"/>
      <c r="J56" s="386"/>
      <c r="K56" s="386"/>
      <c r="L56" s="386"/>
      <c r="M56" s="386"/>
      <c r="N56" s="386"/>
      <c r="O56" s="386"/>
      <c r="P56" s="386"/>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row>
    <row r="57" spans="1:40">
      <c r="A57" s="345"/>
      <c r="B57" s="345"/>
      <c r="C57" s="345"/>
      <c r="D57" s="345"/>
      <c r="E57" s="345"/>
      <c r="F57" s="345"/>
      <c r="G57" s="345"/>
      <c r="H57" s="345"/>
      <c r="I57" s="345"/>
      <c r="J57" s="345"/>
      <c r="K57" s="345"/>
      <c r="L57" s="345"/>
      <c r="M57" s="415"/>
      <c r="N57" s="345"/>
      <c r="O57" s="345"/>
      <c r="P57" s="351" t="s">
        <v>980</v>
      </c>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row>
    <row r="58" spans="1:40" ht="18">
      <c r="A58" s="293" t="s">
        <v>913</v>
      </c>
      <c r="B58" s="294"/>
      <c r="C58" s="294"/>
      <c r="D58" s="294"/>
      <c r="E58" s="294"/>
      <c r="F58" s="294"/>
      <c r="G58" s="389"/>
      <c r="H58" s="389"/>
      <c r="I58" s="422" t="s">
        <v>740</v>
      </c>
      <c r="J58" s="422"/>
      <c r="K58" s="422"/>
      <c r="L58" s="422"/>
      <c r="M58" s="422"/>
    </row>
    <row r="59" spans="1:40" ht="9.75" customHeight="1">
      <c r="A59" s="299"/>
      <c r="B59" s="295"/>
      <c r="C59" s="295"/>
      <c r="D59" s="295"/>
      <c r="E59" s="295"/>
      <c r="F59" s="295"/>
      <c r="G59" s="295"/>
      <c r="H59" s="295"/>
      <c r="I59" s="424"/>
      <c r="J59" s="424"/>
      <c r="K59" s="424"/>
      <c r="L59" s="424"/>
      <c r="M59" s="424"/>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row>
    <row r="60" spans="1:40" ht="18">
      <c r="A60" s="301" t="s">
        <v>914</v>
      </c>
      <c r="B60" s="294"/>
      <c r="C60" s="294"/>
      <c r="D60" s="294"/>
      <c r="E60" s="294"/>
      <c r="F60" s="294"/>
      <c r="G60" s="389"/>
      <c r="H60" s="389"/>
      <c r="I60" s="422" t="s">
        <v>740</v>
      </c>
      <c r="J60" s="422"/>
      <c r="K60" s="422"/>
      <c r="L60" s="422"/>
      <c r="M60" s="422"/>
    </row>
    <row r="61" spans="1:40" s="399" customFormat="1" ht="15.75">
      <c r="A61" s="301" t="s">
        <v>915</v>
      </c>
      <c r="B61" s="295"/>
      <c r="C61" s="295"/>
      <c r="D61" s="295"/>
      <c r="E61" s="295"/>
      <c r="F61" s="295"/>
      <c r="G61" s="389"/>
      <c r="H61" s="389"/>
      <c r="I61" s="422" t="s">
        <v>740</v>
      </c>
      <c r="J61" s="422"/>
      <c r="K61" s="422"/>
      <c r="L61" s="422"/>
      <c r="M61" s="422"/>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row>
    <row r="62" spans="1:40" s="403" customFormat="1" ht="15.75">
      <c r="A62" s="301" t="s">
        <v>998</v>
      </c>
      <c r="B62" s="295"/>
      <c r="C62" s="295"/>
      <c r="D62" s="295"/>
      <c r="E62" s="295"/>
      <c r="F62" s="295"/>
      <c r="G62" s="389"/>
      <c r="H62" s="389"/>
      <c r="I62" s="422" t="s">
        <v>740</v>
      </c>
      <c r="J62" s="422"/>
      <c r="K62" s="422"/>
      <c r="L62" s="422"/>
      <c r="M62" s="422"/>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row>
    <row r="63" spans="1:40" ht="12" customHeight="1">
      <c r="A63" s="432"/>
      <c r="B63" s="393"/>
      <c r="C63" s="393"/>
      <c r="D63" s="393"/>
      <c r="E63" s="393"/>
      <c r="F63" s="393"/>
      <c r="G63" s="393"/>
      <c r="H63" s="393"/>
    </row>
    <row r="64" spans="1:40" ht="15.75" customHeight="1">
      <c r="A64" s="444"/>
      <c r="B64" s="310" t="s">
        <v>724</v>
      </c>
      <c r="C64" s="310"/>
      <c r="D64" s="310"/>
      <c r="E64" s="310"/>
      <c r="F64" s="310"/>
      <c r="G64" s="310"/>
      <c r="H64" s="310"/>
      <c r="I64" s="403" t="s">
        <v>740</v>
      </c>
      <c r="J64" s="403"/>
      <c r="K64" s="403"/>
      <c r="L64" s="403"/>
      <c r="M64" s="403"/>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row>
    <row r="65" spans="1:40" ht="15.75" customHeight="1">
      <c r="A65" s="445"/>
      <c r="B65" s="316">
        <v>1</v>
      </c>
      <c r="C65" s="316">
        <v>2</v>
      </c>
      <c r="D65" s="316">
        <v>3</v>
      </c>
      <c r="E65" s="316">
        <v>4</v>
      </c>
      <c r="F65" s="316">
        <v>5</v>
      </c>
      <c r="G65" s="316">
        <v>6</v>
      </c>
      <c r="H65" s="315" t="s">
        <v>920</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row>
    <row r="66" spans="1:40" ht="15.75" customHeight="1">
      <c r="A66" s="298" t="s">
        <v>825</v>
      </c>
      <c r="B66" s="427">
        <f>+'NEW...Tables 91-112'!J41+'NEW...Tables 91-112'!K41</f>
        <v>74.002820917253089</v>
      </c>
      <c r="C66" s="427">
        <f>+'NEW...Tables 91-112'!J72+'NEW...Tables 91-112'!K72</f>
        <v>69.230128832185159</v>
      </c>
      <c r="D66" s="427">
        <f>+'NEW...Tables 91-112'!J102+'NEW...Tables 91-112'!K102</f>
        <v>42.070459852703429</v>
      </c>
      <c r="E66" s="427">
        <f>+'NEW...Tables 91-112'!J133+'NEW...Tables 91-112'!K133</f>
        <v>62.942045355808489</v>
      </c>
      <c r="F66" s="427">
        <f>+'NEW...Tables 91-112'!J164+'NEW...Tables 91-112'!K164</f>
        <v>10.756873546535601</v>
      </c>
      <c r="G66" s="427">
        <f>+'NEW...Tables 91-112'!J194+'NEW...Tables 91-112'!K194</f>
        <v>1.2626262626262625</v>
      </c>
      <c r="H66" s="408">
        <f>+'NEW...Tables 91-112'!J9+'NEW...Tables 91-112'!K9</f>
        <v>58.936346757365143</v>
      </c>
      <c r="I66" s="428"/>
      <c r="J66" s="428"/>
      <c r="K66" s="428"/>
      <c r="L66" s="428"/>
      <c r="M66" s="428"/>
    </row>
    <row r="67" spans="1:40" ht="15.75" customHeight="1">
      <c r="A67" s="298" t="s">
        <v>826</v>
      </c>
      <c r="B67" s="404">
        <f>+'NEW...Tables 91-112'!J42+'NEW...Tables 91-112'!K42</f>
        <v>67.806703670455548</v>
      </c>
      <c r="C67" s="404">
        <f>+'NEW...Tables 91-112'!J73+'NEW...Tables 91-112'!K73</f>
        <v>70.760110595623033</v>
      </c>
      <c r="D67" s="404">
        <f>+'NEW...Tables 91-112'!J103+'NEW...Tables 91-112'!K103</f>
        <v>31.454831932773111</v>
      </c>
      <c r="E67" s="404">
        <f>+'NEW...Tables 91-112'!J134+'NEW...Tables 91-112'!K134</f>
        <v>24.871543439890175</v>
      </c>
      <c r="F67" s="404">
        <f>+'NEW...Tables 91-112'!J165+'NEW...Tables 91-112'!K165</f>
        <v>16.352096208451645</v>
      </c>
      <c r="G67" s="404">
        <f>+'NEW...Tables 91-112'!J195+'NEW...Tables 91-112'!K195</f>
        <v>67.285382830626446</v>
      </c>
      <c r="H67" s="406">
        <f>+'NEW...Tables 91-112'!J10+'NEW...Tables 91-112'!K10</f>
        <v>45.63042028018679</v>
      </c>
      <c r="I67" s="428"/>
      <c r="J67" s="428"/>
      <c r="K67" s="428"/>
      <c r="L67" s="428"/>
      <c r="M67" s="428"/>
    </row>
    <row r="68" spans="1:40" ht="15.75" customHeight="1">
      <c r="A68" s="298" t="s">
        <v>827</v>
      </c>
      <c r="B68" s="404">
        <f>+'NEW...Tables 91-112'!J43+'NEW...Tables 91-112'!K43</f>
        <v>86.170024382602534</v>
      </c>
      <c r="C68" s="404">
        <f>+'NEW...Tables 91-112'!J74+'NEW...Tables 91-112'!K74</f>
        <v>0</v>
      </c>
      <c r="D68" s="404">
        <f>+'NEW...Tables 91-112'!J104+'NEW...Tables 91-112'!K104</f>
        <v>82.033898305084733</v>
      </c>
      <c r="E68" s="404">
        <f>+'NEW...Tables 91-112'!J135+'NEW...Tables 91-112'!K135</f>
        <v>0</v>
      </c>
      <c r="F68" s="404">
        <f>+'NEW...Tables 91-112'!J166+'NEW...Tables 91-112'!K166</f>
        <v>0</v>
      </c>
      <c r="G68" s="404">
        <f>+'NEW...Tables 91-112'!J196+'NEW...Tables 91-112'!K196</f>
        <v>0</v>
      </c>
      <c r="H68" s="406">
        <f>+'NEW...Tables 91-112'!J11+'NEW...Tables 91-112'!K11</f>
        <v>85.765194524318616</v>
      </c>
      <c r="I68" s="428"/>
      <c r="J68" s="428"/>
      <c r="K68" s="428"/>
      <c r="L68" s="428"/>
      <c r="M68" s="428"/>
    </row>
    <row r="69" spans="1:40" ht="15.75" customHeight="1">
      <c r="A69" s="298" t="s">
        <v>828</v>
      </c>
      <c r="B69" s="404">
        <f>+'NEW...Tables 91-112'!J44+'NEW...Tables 91-112'!K44</f>
        <v>0</v>
      </c>
      <c r="C69" s="404">
        <f>+'NEW...Tables 91-112'!J75+'NEW...Tables 91-112'!K75</f>
        <v>0</v>
      </c>
      <c r="D69" s="404">
        <f>+'NEW...Tables 91-112'!J105+'NEW...Tables 91-112'!K105</f>
        <v>0</v>
      </c>
      <c r="E69" s="404">
        <f>+'NEW...Tables 91-112'!J136+'NEW...Tables 91-112'!K136</f>
        <v>0</v>
      </c>
      <c r="F69" s="404">
        <f>+'NEW...Tables 91-112'!J167+'NEW...Tables 91-112'!K167</f>
        <v>0</v>
      </c>
      <c r="G69" s="404">
        <f>+'NEW...Tables 91-112'!J197+'NEW...Tables 91-112'!K197</f>
        <v>0</v>
      </c>
      <c r="H69" s="406">
        <f>+'NEW...Tables 91-112'!J12+'NEW...Tables 91-112'!K12</f>
        <v>0</v>
      </c>
      <c r="I69" s="428"/>
      <c r="J69" s="428"/>
      <c r="K69" s="428"/>
      <c r="L69" s="428"/>
      <c r="M69" s="428"/>
    </row>
    <row r="70" spans="1:40" ht="15.75" customHeight="1">
      <c r="A70" s="298"/>
      <c r="B70" s="404"/>
      <c r="C70" s="404"/>
      <c r="D70" s="404"/>
      <c r="E70" s="404"/>
      <c r="F70" s="404"/>
      <c r="G70" s="404"/>
      <c r="H70" s="406"/>
      <c r="I70" s="428"/>
      <c r="J70" s="428"/>
      <c r="K70" s="428"/>
      <c r="L70" s="428"/>
      <c r="M70" s="428"/>
    </row>
    <row r="71" spans="1:40" ht="15.75" customHeight="1">
      <c r="A71" s="298" t="s">
        <v>829</v>
      </c>
      <c r="B71" s="404">
        <f>+'NEW...Tables 91-112'!J46+'NEW...Tables 91-112'!K46</f>
        <v>93.954664300783222</v>
      </c>
      <c r="C71" s="404">
        <f>+'NEW...Tables 91-112'!J77+'NEW...Tables 91-112'!K77</f>
        <v>73.833292020641323</v>
      </c>
      <c r="D71" s="404">
        <f>+'NEW...Tables 91-112'!J107+'NEW...Tables 91-112'!K107</f>
        <v>33.653548947360676</v>
      </c>
      <c r="E71" s="404">
        <f>+'NEW...Tables 91-112'!J138+'NEW...Tables 91-112'!K138</f>
        <v>78.921469602556726</v>
      </c>
      <c r="F71" s="404">
        <f>+'NEW...Tables 91-112'!J169+'NEW...Tables 91-112'!K169</f>
        <v>77.584359935725757</v>
      </c>
      <c r="G71" s="404">
        <f>+'NEW...Tables 91-112'!J199+'NEW...Tables 91-112'!K199</f>
        <v>11.788953009068425</v>
      </c>
      <c r="H71" s="406">
        <f>+'NEW...Tables 91-112'!J14+'NEW...Tables 91-112'!K14</f>
        <v>76.153858806191579</v>
      </c>
      <c r="I71" s="428"/>
      <c r="J71" s="428"/>
      <c r="K71" s="428"/>
      <c r="L71" s="428"/>
      <c r="M71" s="428"/>
    </row>
    <row r="72" spans="1:40" ht="15.75" customHeight="1">
      <c r="A72" s="298" t="s">
        <v>830</v>
      </c>
      <c r="B72" s="404">
        <f>+'NEW...Tables 91-112'!J47+'NEW...Tables 91-112'!K47</f>
        <v>76.326090137547553</v>
      </c>
      <c r="C72" s="404">
        <f>+'NEW...Tables 91-112'!J78+'NEW...Tables 91-112'!K78</f>
        <v>0</v>
      </c>
      <c r="D72" s="404">
        <f>+'NEW...Tables 91-112'!J108+'NEW...Tables 91-112'!K108</f>
        <v>45.727700745033111</v>
      </c>
      <c r="E72" s="404">
        <f>+'NEW...Tables 91-112'!J139+'NEW...Tables 91-112'!K139</f>
        <v>79.310344827586206</v>
      </c>
      <c r="F72" s="404">
        <f>+'NEW...Tables 91-112'!J170+'NEW...Tables 91-112'!K170</f>
        <v>0</v>
      </c>
      <c r="G72" s="404">
        <f>+'NEW...Tables 91-112'!J200+'NEW...Tables 91-112'!K200</f>
        <v>0</v>
      </c>
      <c r="H72" s="406">
        <f>+'NEW...Tables 91-112'!J15+'NEW...Tables 91-112'!K15</f>
        <v>61.582715856797449</v>
      </c>
      <c r="I72" s="428"/>
      <c r="J72" s="428"/>
      <c r="K72" s="428"/>
      <c r="L72" s="428"/>
      <c r="M72" s="428"/>
    </row>
    <row r="73" spans="1:40" ht="15.75" customHeight="1">
      <c r="A73" s="298" t="s">
        <v>831</v>
      </c>
      <c r="B73" s="404">
        <f>+'NEW...Tables 91-112'!J48+'NEW...Tables 91-112'!K48</f>
        <v>94.141769185705897</v>
      </c>
      <c r="C73" s="404">
        <f>+'NEW...Tables 91-112'!J79+'NEW...Tables 91-112'!K79</f>
        <v>82.276532530538404</v>
      </c>
      <c r="D73" s="404">
        <f>+'NEW...Tables 91-112'!J109+'NEW...Tables 91-112'!K109</f>
        <v>57.942735342003417</v>
      </c>
      <c r="E73" s="404">
        <f>+'NEW...Tables 91-112'!J140+'NEW...Tables 91-112'!K140</f>
        <v>44.201611940657131</v>
      </c>
      <c r="F73" s="404">
        <f>+'NEW...Tables 91-112'!J171+'NEW...Tables 91-112'!K171</f>
        <v>86.637931034482719</v>
      </c>
      <c r="G73" s="404">
        <f>+'NEW...Tables 91-112'!J201+'NEW...Tables 91-112'!K201</f>
        <v>0</v>
      </c>
      <c r="H73" s="406">
        <f>+'NEW...Tables 91-112'!J16+'NEW...Tables 91-112'!K16</f>
        <v>71.341496193527561</v>
      </c>
      <c r="I73" s="428"/>
      <c r="J73" s="428"/>
      <c r="K73" s="428"/>
      <c r="L73" s="428"/>
      <c r="M73" s="428"/>
    </row>
    <row r="74" spans="1:40" ht="15.75" customHeight="1">
      <c r="A74" s="298" t="s">
        <v>832</v>
      </c>
      <c r="B74" s="404">
        <f>+'NEW...Tables 91-112'!J49+'NEW...Tables 91-112'!K49</f>
        <v>87.589850014149604</v>
      </c>
      <c r="C74" s="404">
        <f>+'NEW...Tables 91-112'!J80+'NEW...Tables 91-112'!K80</f>
        <v>77.957090672108933</v>
      </c>
      <c r="D74" s="404">
        <f>+'NEW...Tables 91-112'!J110+'NEW...Tables 91-112'!K110</f>
        <v>78.039873176076085</v>
      </c>
      <c r="E74" s="404">
        <f>+'NEW...Tables 91-112'!J141+'NEW...Tables 91-112'!K141</f>
        <v>64.94801436779909</v>
      </c>
      <c r="F74" s="404">
        <f>+'NEW...Tables 91-112'!J172+'NEW...Tables 91-112'!K172</f>
        <v>87.002499519323209</v>
      </c>
      <c r="G74" s="404">
        <f>+'NEW...Tables 91-112'!J202+'NEW...Tables 91-112'!K202</f>
        <v>100</v>
      </c>
      <c r="H74" s="406">
        <f>+'NEW...Tables 91-112'!J17+'NEW...Tables 91-112'!K17</f>
        <v>52.186700878869594</v>
      </c>
      <c r="I74" s="428"/>
      <c r="J74" s="428"/>
      <c r="K74" s="428"/>
      <c r="L74" s="428"/>
      <c r="M74" s="428"/>
    </row>
    <row r="75" spans="1:40" ht="15.75" customHeight="1">
      <c r="A75" s="298"/>
      <c r="B75" s="404"/>
      <c r="C75" s="404"/>
      <c r="D75" s="404"/>
      <c r="E75" s="404"/>
      <c r="F75" s="404"/>
      <c r="G75" s="404"/>
      <c r="H75" s="406"/>
      <c r="I75" s="428"/>
      <c r="J75" s="428"/>
      <c r="K75" s="428"/>
      <c r="L75" s="428"/>
      <c r="M75" s="428"/>
    </row>
    <row r="76" spans="1:40" ht="15.75" customHeight="1">
      <c r="A76" s="298" t="s">
        <v>833</v>
      </c>
      <c r="B76" s="404">
        <f>+'NEW...Tables 91-112'!J51+'NEW...Tables 91-112'!K51</f>
        <v>75.877644730103754</v>
      </c>
      <c r="C76" s="404">
        <f>+'NEW...Tables 91-112'!J82+'NEW...Tables 91-112'!K82</f>
        <v>51.705455412819035</v>
      </c>
      <c r="D76" s="404">
        <f>+'NEW...Tables 91-112'!J112+'NEW...Tables 91-112'!K112</f>
        <v>0</v>
      </c>
      <c r="E76" s="404">
        <f>+'NEW...Tables 91-112'!J143+'NEW...Tables 91-112'!K143</f>
        <v>20.177757776902737</v>
      </c>
      <c r="F76" s="404">
        <f>+'NEW...Tables 91-112'!J174+'NEW...Tables 91-112'!K174</f>
        <v>61.151736745886659</v>
      </c>
      <c r="G76" s="404">
        <f>+'NEW...Tables 91-112'!J204+'NEW...Tables 91-112'!K204</f>
        <v>0</v>
      </c>
      <c r="H76" s="406">
        <f>+'NEW...Tables 91-112'!J19+'NEW...Tables 91-112'!K19</f>
        <v>64.546666337537957</v>
      </c>
      <c r="I76" s="428"/>
      <c r="J76" s="428"/>
      <c r="K76" s="428"/>
      <c r="L76" s="428"/>
      <c r="M76" s="428"/>
    </row>
    <row r="77" spans="1:40" ht="15.75" customHeight="1">
      <c r="A77" s="298" t="s">
        <v>834</v>
      </c>
      <c r="B77" s="404">
        <f>+'NEW...Tables 91-112'!J52+'NEW...Tables 91-112'!K52</f>
        <v>81.418646231464535</v>
      </c>
      <c r="C77" s="404">
        <f>+'NEW...Tables 91-112'!J83+'NEW...Tables 91-112'!K83</f>
        <v>38.921643738272095</v>
      </c>
      <c r="D77" s="404">
        <f>+'NEW...Tables 91-112'!J113+'NEW...Tables 91-112'!K113</f>
        <v>62.257461089850963</v>
      </c>
      <c r="E77" s="404">
        <f>+'NEW...Tables 91-112'!J144+'NEW...Tables 91-112'!K144</f>
        <v>35.625603531521591</v>
      </c>
      <c r="F77" s="404">
        <f>+'NEW...Tables 91-112'!J175+'NEW...Tables 91-112'!K175</f>
        <v>47.59326337802009</v>
      </c>
      <c r="G77" s="404">
        <f>+'NEW...Tables 91-112'!J205+'NEW...Tables 91-112'!K205</f>
        <v>83.673469387755105</v>
      </c>
      <c r="H77" s="406">
        <f>+'NEW...Tables 91-112'!J20+'NEW...Tables 91-112'!K20</f>
        <v>71.469518836591789</v>
      </c>
      <c r="I77" s="428"/>
      <c r="J77" s="428"/>
      <c r="K77" s="428"/>
      <c r="L77" s="428"/>
      <c r="M77" s="428"/>
    </row>
    <row r="78" spans="1:40" ht="15.75" customHeight="1">
      <c r="A78" s="298" t="s">
        <v>835</v>
      </c>
      <c r="B78" s="404">
        <f>+'NEW...Tables 91-112'!J53+'NEW...Tables 91-112'!K53</f>
        <v>82.66659250710309</v>
      </c>
      <c r="C78" s="404">
        <f>+'NEW...Tables 91-112'!J84+'NEW...Tables 91-112'!K84</f>
        <v>0</v>
      </c>
      <c r="D78" s="404">
        <f>+'NEW...Tables 91-112'!J114+'NEW...Tables 91-112'!K114</f>
        <v>59.700899718514165</v>
      </c>
      <c r="E78" s="404">
        <f>+'NEW...Tables 91-112'!J145+'NEW...Tables 91-112'!K145</f>
        <v>48.463322702232531</v>
      </c>
      <c r="F78" s="404">
        <f>+'NEW...Tables 91-112'!J176+'NEW...Tables 91-112'!K176</f>
        <v>49.659477866061295</v>
      </c>
      <c r="G78" s="404">
        <f>+'NEW...Tables 91-112'!J206+'NEW...Tables 91-112'!K206</f>
        <v>94.77124183006535</v>
      </c>
      <c r="H78" s="406">
        <f>+'NEW...Tables 91-112'!J21+'NEW...Tables 91-112'!K21</f>
        <v>74.026048013166445</v>
      </c>
      <c r="I78" s="428"/>
      <c r="J78" s="428"/>
      <c r="K78" s="428"/>
      <c r="L78" s="428"/>
      <c r="M78" s="428"/>
    </row>
    <row r="79" spans="1:40" ht="15.75" customHeight="1">
      <c r="A79" s="298" t="s">
        <v>836</v>
      </c>
      <c r="B79" s="404">
        <f>+'NEW...Tables 91-112'!J54+'NEW...Tables 91-112'!K54</f>
        <v>76.059524713385471</v>
      </c>
      <c r="C79" s="404">
        <f>+'NEW...Tables 91-112'!J85+'NEW...Tables 91-112'!K85</f>
        <v>0</v>
      </c>
      <c r="D79" s="404">
        <f>+'NEW...Tables 91-112'!J115+'NEW...Tables 91-112'!K115</f>
        <v>66.192897078890482</v>
      </c>
      <c r="E79" s="404">
        <f>+'NEW...Tables 91-112'!J146+'NEW...Tables 91-112'!K146</f>
        <v>46.171428571428571</v>
      </c>
      <c r="F79" s="404">
        <f>+'NEW...Tables 91-112'!J177+'NEW...Tables 91-112'!K177</f>
        <v>79.520884520884522</v>
      </c>
      <c r="G79" s="404">
        <f>+'NEW...Tables 91-112'!J207+'NEW...Tables 91-112'!K207</f>
        <v>25.432454695222408</v>
      </c>
      <c r="H79" s="406">
        <f>+'NEW...Tables 91-112'!J22+'NEW...Tables 91-112'!K22</f>
        <v>73.139007303446178</v>
      </c>
      <c r="I79" s="428"/>
      <c r="J79" s="428"/>
      <c r="K79" s="428"/>
      <c r="L79" s="428"/>
      <c r="M79" s="428"/>
    </row>
    <row r="80" spans="1:40" ht="15.75" customHeight="1">
      <c r="A80" s="298"/>
      <c r="B80" s="404"/>
      <c r="C80" s="404"/>
      <c r="D80" s="404"/>
      <c r="E80" s="404"/>
      <c r="F80" s="404"/>
      <c r="G80" s="404"/>
      <c r="H80" s="406"/>
      <c r="I80" s="428"/>
      <c r="J80" s="428"/>
      <c r="K80" s="428"/>
      <c r="L80" s="428"/>
      <c r="M80" s="428"/>
    </row>
    <row r="81" spans="1:40" ht="15.75" customHeight="1">
      <c r="A81" s="298" t="s">
        <v>837</v>
      </c>
      <c r="B81" s="404">
        <f>+'NEW...Tables 91-112'!J56+'NEW...Tables 91-112'!K56</f>
        <v>68.981040774234501</v>
      </c>
      <c r="C81" s="404">
        <f>+'NEW...Tables 91-112'!J87+'NEW...Tables 91-112'!K87</f>
        <v>56.188314061988955</v>
      </c>
      <c r="D81" s="404">
        <f>+'NEW...Tables 91-112'!J117+'NEW...Tables 91-112'!K117</f>
        <v>41.962894309476546</v>
      </c>
      <c r="E81" s="404">
        <f>+'NEW...Tables 91-112'!J148+'NEW...Tables 91-112'!K148</f>
        <v>0</v>
      </c>
      <c r="F81" s="404">
        <f>+'NEW...Tables 91-112'!J179+'NEW...Tables 91-112'!K179</f>
        <v>14.709032488397</v>
      </c>
      <c r="G81" s="404">
        <f>+'NEW...Tables 91-112'!J209+'NEW...Tables 91-112'!K209</f>
        <v>0</v>
      </c>
      <c r="H81" s="406">
        <f>+'NEW...Tables 91-112'!J24+'NEW...Tables 91-112'!K24</f>
        <v>58.785104525014837</v>
      </c>
      <c r="I81" s="428"/>
      <c r="J81" s="428"/>
      <c r="K81" s="428"/>
      <c r="L81" s="428"/>
      <c r="M81" s="428"/>
    </row>
    <row r="82" spans="1:40" s="345" customFormat="1">
      <c r="A82" s="298" t="s">
        <v>838</v>
      </c>
      <c r="B82" s="404">
        <f>+'NEW...Tables 91-112'!J57+'NEW...Tables 91-112'!K57</f>
        <v>78.071595153207895</v>
      </c>
      <c r="C82" s="404">
        <f>+'NEW...Tables 91-112'!J88+'NEW...Tables 91-112'!K88</f>
        <v>61.961629851271667</v>
      </c>
      <c r="D82" s="404">
        <f>+'NEW...Tables 91-112'!J118+'NEW...Tables 91-112'!K118</f>
        <v>35.843222203619106</v>
      </c>
      <c r="E82" s="404">
        <f>+'NEW...Tables 91-112'!J149+'NEW...Tables 91-112'!K149</f>
        <v>22.326925493152405</v>
      </c>
      <c r="F82" s="404">
        <f>+'NEW...Tables 91-112'!J180+'NEW...Tables 91-112'!K180</f>
        <v>18.013001037542082</v>
      </c>
      <c r="G82" s="404">
        <f>+'NEW...Tables 91-112'!J210+'NEW...Tables 91-112'!K210</f>
        <v>0</v>
      </c>
      <c r="H82" s="406">
        <f>+'NEW...Tables 91-112'!J25+'NEW...Tables 91-112'!K25</f>
        <v>61.934351958391368</v>
      </c>
      <c r="I82" s="428"/>
      <c r="J82" s="428"/>
      <c r="K82" s="428"/>
      <c r="L82" s="428"/>
      <c r="M82" s="428"/>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row>
    <row r="83" spans="1:40" s="345" customFormat="1">
      <c r="A83" s="298" t="s">
        <v>839</v>
      </c>
      <c r="B83" s="404">
        <f>+'NEW...Tables 91-112'!J58+'NEW...Tables 91-112'!K58</f>
        <v>84.631523051201256</v>
      </c>
      <c r="C83" s="404">
        <f>+'NEW...Tables 91-112'!J89+'NEW...Tables 91-112'!K89</f>
        <v>87.576758409785938</v>
      </c>
      <c r="D83" s="404">
        <f>+'NEW...Tables 91-112'!J119+'NEW...Tables 91-112'!K119</f>
        <v>74.066104150084783</v>
      </c>
      <c r="E83" s="404">
        <f>+'NEW...Tables 91-112'!J150+'NEW...Tables 91-112'!K150</f>
        <v>0</v>
      </c>
      <c r="F83" s="404">
        <f>+'NEW...Tables 91-112'!J181+'NEW...Tables 91-112'!K181</f>
        <v>100</v>
      </c>
      <c r="G83" s="404">
        <f>+'NEW...Tables 91-112'!J211+'NEW...Tables 91-112'!K211</f>
        <v>0</v>
      </c>
      <c r="H83" s="406">
        <f>+'NEW...Tables 91-112'!J26+'NEW...Tables 91-112'!K26</f>
        <v>83.786004976364993</v>
      </c>
      <c r="I83" s="428"/>
      <c r="J83" s="428"/>
      <c r="K83" s="428"/>
      <c r="L83" s="428"/>
      <c r="M83" s="428"/>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row>
    <row r="84" spans="1:40" s="345" customFormat="1">
      <c r="A84" s="304" t="s">
        <v>840</v>
      </c>
      <c r="B84" s="410">
        <f>+'NEW...Tables 91-112'!J59+'NEW...Tables 91-112'!K59</f>
        <v>71.386115625725566</v>
      </c>
      <c r="C84" s="410">
        <f>+'NEW...Tables 91-112'!J90+'NEW...Tables 91-112'!K90</f>
        <v>0</v>
      </c>
      <c r="D84" s="410">
        <f>+'NEW...Tables 91-112'!J120+'NEW...Tables 91-112'!K120</f>
        <v>67.867052364366259</v>
      </c>
      <c r="E84" s="410">
        <f>+'NEW...Tables 91-112'!J151+'NEW...Tables 91-112'!K151</f>
        <v>0</v>
      </c>
      <c r="F84" s="410">
        <f>+'NEW...Tables 91-112'!J182+'NEW...Tables 91-112'!K182</f>
        <v>46.232845995156516</v>
      </c>
      <c r="G84" s="410">
        <f>+'NEW...Tables 91-112'!J212+'NEW...Tables 91-112'!K212</f>
        <v>71.093749999999986</v>
      </c>
      <c r="H84" s="412">
        <f>+'NEW...Tables 91-112'!J27+'NEW...Tables 91-112'!K27</f>
        <v>66.904391085614407</v>
      </c>
      <c r="I84" s="428"/>
      <c r="J84" s="428"/>
      <c r="K84" s="428"/>
      <c r="L84" s="428"/>
      <c r="M84" s="428"/>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row>
    <row r="85" spans="1:40" s="298" customFormat="1" ht="35.25" customHeight="1">
      <c r="A85" s="454" t="s">
        <v>925</v>
      </c>
      <c r="B85" s="454"/>
      <c r="C85" s="454"/>
      <c r="D85" s="454"/>
      <c r="E85" s="454"/>
      <c r="F85" s="454"/>
      <c r="G85" s="454"/>
      <c r="H85" s="454"/>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row>
    <row r="86" spans="1:40">
      <c r="A86" s="345"/>
      <c r="B86" s="345"/>
      <c r="C86" s="345"/>
      <c r="D86" s="345"/>
      <c r="E86" s="345"/>
      <c r="F86" s="345"/>
      <c r="G86" s="345"/>
      <c r="H86" s="351" t="s">
        <v>980</v>
      </c>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row>
    <row r="87" spans="1:40" ht="18">
      <c r="A87" s="293" t="s">
        <v>917</v>
      </c>
      <c r="B87" s="294"/>
      <c r="C87" s="294"/>
      <c r="D87" s="294"/>
      <c r="E87" s="294"/>
      <c r="F87" s="294"/>
      <c r="G87" s="389"/>
      <c r="H87" s="389"/>
      <c r="I87" s="422" t="s">
        <v>740</v>
      </c>
      <c r="J87" s="422"/>
      <c r="K87" s="422"/>
      <c r="L87" s="422"/>
      <c r="M87" s="422"/>
    </row>
    <row r="88" spans="1:40">
      <c r="A88" s="299"/>
      <c r="B88" s="295"/>
      <c r="C88" s="295"/>
      <c r="D88" s="295"/>
      <c r="E88" s="295"/>
      <c r="F88" s="295"/>
      <c r="G88" s="295"/>
      <c r="H88" s="295"/>
      <c r="I88" s="424"/>
      <c r="J88" s="424"/>
      <c r="K88" s="424"/>
      <c r="L88" s="424"/>
      <c r="M88" s="424"/>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row>
    <row r="89" spans="1:40" s="403" customFormat="1" ht="18">
      <c r="A89" s="301" t="s">
        <v>918</v>
      </c>
      <c r="B89" s="294"/>
      <c r="C89" s="294"/>
      <c r="D89" s="294"/>
      <c r="E89" s="294"/>
      <c r="F89" s="294"/>
      <c r="G89" s="389"/>
      <c r="H89" s="389"/>
      <c r="I89" s="422" t="s">
        <v>740</v>
      </c>
      <c r="J89" s="422"/>
      <c r="K89" s="422"/>
      <c r="L89" s="422"/>
      <c r="M89" s="422"/>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row>
    <row r="90" spans="1:40" s="403" customFormat="1" ht="15.75">
      <c r="A90" s="301" t="s">
        <v>998</v>
      </c>
      <c r="B90" s="295"/>
      <c r="C90" s="295"/>
      <c r="D90" s="295"/>
      <c r="E90" s="295"/>
      <c r="F90" s="295"/>
      <c r="G90" s="389"/>
      <c r="H90" s="389"/>
      <c r="I90" s="422" t="s">
        <v>740</v>
      </c>
      <c r="J90" s="422"/>
      <c r="K90" s="422"/>
      <c r="L90" s="422"/>
      <c r="M90" s="422"/>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row>
    <row r="91" spans="1:40" ht="11.25" customHeight="1">
      <c r="A91" s="438"/>
      <c r="B91" s="424"/>
      <c r="C91" s="424"/>
      <c r="D91" s="424"/>
      <c r="E91" s="424"/>
      <c r="F91" s="424"/>
      <c r="G91" s="422"/>
      <c r="H91" s="422"/>
      <c r="I91" s="422"/>
      <c r="J91" s="422"/>
      <c r="K91" s="422"/>
      <c r="L91" s="422"/>
      <c r="M91" s="422"/>
    </row>
    <row r="92" spans="1:40" ht="15.75" customHeight="1">
      <c r="A92" s="434"/>
      <c r="B92" s="310" t="s">
        <v>724</v>
      </c>
      <c r="C92" s="310"/>
      <c r="D92" s="310"/>
      <c r="E92" s="310"/>
      <c r="F92" s="310"/>
      <c r="G92" s="310"/>
      <c r="H92" s="310"/>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403"/>
      <c r="AM92" s="403"/>
      <c r="AN92" s="403"/>
    </row>
    <row r="93" spans="1:40" ht="15.75" customHeight="1">
      <c r="A93" s="434"/>
      <c r="B93" s="316">
        <v>1</v>
      </c>
      <c r="C93" s="316">
        <v>2</v>
      </c>
      <c r="D93" s="316">
        <v>3</v>
      </c>
      <c r="E93" s="316">
        <v>4</v>
      </c>
      <c r="F93" s="316">
        <v>5</v>
      </c>
      <c r="G93" s="316">
        <v>6</v>
      </c>
      <c r="H93" s="315" t="s">
        <v>920</v>
      </c>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403"/>
      <c r="AM93" s="403"/>
      <c r="AN93" s="403"/>
    </row>
    <row r="94" spans="1:40" ht="15.75" customHeight="1">
      <c r="A94" s="298" t="s">
        <v>825</v>
      </c>
      <c r="B94" s="427">
        <f>+'NEW...Tables 91-112'!L41</f>
        <v>25.997179082746907</v>
      </c>
      <c r="C94" s="427">
        <f>+'NEW...Tables 91-112'!L72</f>
        <v>30.769871167814848</v>
      </c>
      <c r="D94" s="427">
        <f>+'NEW...Tables 91-112'!L102</f>
        <v>57.929540147296578</v>
      </c>
      <c r="E94" s="427">
        <f>+'NEW...Tables 91-112'!L133</f>
        <v>37.057954644191504</v>
      </c>
      <c r="F94" s="427">
        <f>+'NEW...Tables 91-112'!L164</f>
        <v>89.243126453464399</v>
      </c>
      <c r="G94" s="427">
        <f>+'NEW...Tables 91-112'!L194</f>
        <v>98.73737373737373</v>
      </c>
      <c r="H94" s="408">
        <f>+'NEW...Tables 91-112'!L9</f>
        <v>41.063653242634857</v>
      </c>
      <c r="I94" s="428"/>
      <c r="J94" s="428"/>
      <c r="K94" s="428"/>
      <c r="L94" s="428"/>
      <c r="M94" s="428"/>
    </row>
    <row r="95" spans="1:40" ht="15.75" customHeight="1">
      <c r="A95" s="298" t="s">
        <v>826</v>
      </c>
      <c r="B95" s="404">
        <f>+'NEW...Tables 91-112'!L42</f>
        <v>31.990997711496885</v>
      </c>
      <c r="C95" s="404">
        <f>+'NEW...Tables 91-112'!L73</f>
        <v>29.162566193354888</v>
      </c>
      <c r="D95" s="404">
        <f>+'NEW...Tables 91-112'!L103</f>
        <v>68.535320378151269</v>
      </c>
      <c r="E95" s="404">
        <f>+'NEW...Tables 91-112'!L134</f>
        <v>75.093155520690331</v>
      </c>
      <c r="F95" s="404">
        <f>+'NEW...Tables 91-112'!L165</f>
        <v>83.647903791548345</v>
      </c>
      <c r="G95" s="404">
        <f>+'NEW...Tables 91-112'!L195</f>
        <v>32.714617169373547</v>
      </c>
      <c r="H95" s="406">
        <f>+'NEW...Tables 91-112'!L10</f>
        <v>54.298963536666726</v>
      </c>
      <c r="I95" s="428"/>
      <c r="J95" s="428"/>
      <c r="K95" s="428"/>
      <c r="L95" s="428"/>
      <c r="M95" s="428"/>
    </row>
    <row r="96" spans="1:40" ht="15.75" customHeight="1">
      <c r="A96" s="298" t="s">
        <v>827</v>
      </c>
      <c r="B96" s="404">
        <f>+'NEW...Tables 91-112'!L43</f>
        <v>13.829975617397464</v>
      </c>
      <c r="C96" s="404">
        <f>+'NEW...Tables 91-112'!L74</f>
        <v>0</v>
      </c>
      <c r="D96" s="404">
        <f>+'NEW...Tables 91-112'!L104</f>
        <v>17.966101694915253</v>
      </c>
      <c r="E96" s="404">
        <f>+'NEW...Tables 91-112'!L135</f>
        <v>0</v>
      </c>
      <c r="F96" s="404">
        <f>+'NEW...Tables 91-112'!L166</f>
        <v>0</v>
      </c>
      <c r="G96" s="404">
        <f>+'NEW...Tables 91-112'!L196</f>
        <v>0</v>
      </c>
      <c r="H96" s="406">
        <f>+'NEW...Tables 91-112'!L11</f>
        <v>14.234805475681389</v>
      </c>
      <c r="I96" s="428"/>
      <c r="J96" s="428"/>
      <c r="K96" s="428"/>
      <c r="L96" s="428"/>
      <c r="M96" s="428"/>
    </row>
    <row r="97" spans="1:40" ht="15.75" customHeight="1">
      <c r="A97" s="298" t="s">
        <v>865</v>
      </c>
      <c r="B97" s="404">
        <f>+'NEW...Tables 91-112'!L44</f>
        <v>0</v>
      </c>
      <c r="C97" s="404">
        <f>+'NEW...Tables 91-112'!L75</f>
        <v>0</v>
      </c>
      <c r="D97" s="404">
        <f>+'NEW...Tables 91-112'!L105</f>
        <v>0</v>
      </c>
      <c r="E97" s="404">
        <f>+'NEW...Tables 91-112'!L136</f>
        <v>0</v>
      </c>
      <c r="F97" s="404">
        <f>+'NEW...Tables 91-112'!L167</f>
        <v>0</v>
      </c>
      <c r="G97" s="404">
        <f>+'NEW...Tables 91-112'!L197</f>
        <v>0</v>
      </c>
      <c r="H97" s="406">
        <f>+'NEW...Tables 91-112'!L12</f>
        <v>0</v>
      </c>
      <c r="I97" s="428"/>
      <c r="J97" s="428"/>
      <c r="K97" s="428"/>
      <c r="L97" s="428"/>
      <c r="M97" s="428"/>
    </row>
    <row r="98" spans="1:40" ht="15.75" customHeight="1">
      <c r="A98" s="298"/>
      <c r="B98" s="404"/>
      <c r="C98" s="404"/>
      <c r="D98" s="404"/>
      <c r="E98" s="404"/>
      <c r="F98" s="404"/>
      <c r="G98" s="404"/>
      <c r="H98" s="406"/>
      <c r="I98" s="428"/>
      <c r="J98" s="428"/>
      <c r="K98" s="428"/>
      <c r="L98" s="428"/>
      <c r="M98" s="428"/>
    </row>
    <row r="99" spans="1:40" ht="15.75" customHeight="1">
      <c r="A99" s="298" t="s">
        <v>829</v>
      </c>
      <c r="B99" s="404">
        <f>+'NEW...Tables 91-112'!L46</f>
        <v>6.0453356992167793</v>
      </c>
      <c r="C99" s="404">
        <f>+'NEW...Tables 91-112'!L77</f>
        <v>26.166707979358677</v>
      </c>
      <c r="D99" s="404">
        <f>+'NEW...Tables 91-112'!L107</f>
        <v>66.346451052639338</v>
      </c>
      <c r="E99" s="404">
        <f>+'NEW...Tables 91-112'!L138</f>
        <v>21.07853039744327</v>
      </c>
      <c r="F99" s="404">
        <f>+'NEW...Tables 91-112'!L169</f>
        <v>22.415640064274235</v>
      </c>
      <c r="G99" s="404">
        <f>+'NEW...Tables 91-112'!L199</f>
        <v>88.211046990931578</v>
      </c>
      <c r="H99" s="406">
        <f>+'NEW...Tables 91-112'!L14</f>
        <v>23.846141193808418</v>
      </c>
      <c r="I99" s="428"/>
      <c r="J99" s="428"/>
      <c r="K99" s="428"/>
      <c r="L99" s="428"/>
      <c r="M99" s="428"/>
    </row>
    <row r="100" spans="1:40" ht="15.75" customHeight="1">
      <c r="A100" s="298" t="s">
        <v>830</v>
      </c>
      <c r="B100" s="404">
        <f>+'NEW...Tables 91-112'!L47</f>
        <v>23.67390986245244</v>
      </c>
      <c r="C100" s="404">
        <f>+'NEW...Tables 91-112'!L78</f>
        <v>0</v>
      </c>
      <c r="D100" s="404">
        <f>+'NEW...Tables 91-112'!L108</f>
        <v>54.272299254966882</v>
      </c>
      <c r="E100" s="404">
        <f>+'NEW...Tables 91-112'!L139</f>
        <v>20.689655172413794</v>
      </c>
      <c r="F100" s="404">
        <f>+'NEW...Tables 91-112'!L170</f>
        <v>0</v>
      </c>
      <c r="G100" s="404">
        <f>+'NEW...Tables 91-112'!L200</f>
        <v>0</v>
      </c>
      <c r="H100" s="406">
        <f>+'NEW...Tables 91-112'!L15</f>
        <v>38.417284143202551</v>
      </c>
      <c r="I100" s="428"/>
      <c r="J100" s="428"/>
      <c r="K100" s="428"/>
      <c r="L100" s="428"/>
      <c r="M100" s="428"/>
    </row>
    <row r="101" spans="1:40" ht="15.75" customHeight="1">
      <c r="A101" s="298" t="s">
        <v>831</v>
      </c>
      <c r="B101" s="404">
        <f>+'NEW...Tables 91-112'!L48</f>
        <v>5.8582308142940986</v>
      </c>
      <c r="C101" s="404">
        <f>+'NEW...Tables 91-112'!L79</f>
        <v>17.723467469461614</v>
      </c>
      <c r="D101" s="404">
        <f>+'NEW...Tables 91-112'!L109</f>
        <v>42.057264657996591</v>
      </c>
      <c r="E101" s="404">
        <f>+'NEW...Tables 91-112'!L140</f>
        <v>55.798388059342876</v>
      </c>
      <c r="F101" s="404">
        <f>+'NEW...Tables 91-112'!L171</f>
        <v>13.362068965517288</v>
      </c>
      <c r="G101" s="404">
        <f>+'NEW...Tables 91-112'!L201</f>
        <v>0</v>
      </c>
      <c r="H101" s="406">
        <f>+'NEW...Tables 91-112'!L16</f>
        <v>28.658503806472414</v>
      </c>
      <c r="I101" s="428"/>
      <c r="J101" s="428"/>
      <c r="K101" s="428"/>
      <c r="L101" s="428"/>
      <c r="M101" s="428"/>
    </row>
    <row r="102" spans="1:40" ht="15.75" customHeight="1">
      <c r="A102" s="298" t="s">
        <v>832</v>
      </c>
      <c r="B102" s="404">
        <f>+'NEW...Tables 91-112'!L49</f>
        <v>12.410149985850392</v>
      </c>
      <c r="C102" s="404">
        <f>+'NEW...Tables 91-112'!L80</f>
        <v>22.042909327891063</v>
      </c>
      <c r="D102" s="404">
        <f>+'NEW...Tables 91-112'!L110</f>
        <v>21.960126823923908</v>
      </c>
      <c r="E102" s="404">
        <f>+'NEW...Tables 91-112'!L141</f>
        <v>35.051985632200918</v>
      </c>
      <c r="F102" s="404">
        <f>+'NEW...Tables 91-112'!L172</f>
        <v>12.997500480676793</v>
      </c>
      <c r="G102" s="404">
        <f>+'NEW...Tables 91-112'!L202</f>
        <v>0</v>
      </c>
      <c r="H102" s="406">
        <f>+'NEW...Tables 91-112'!L17</f>
        <v>47.813299121130399</v>
      </c>
      <c r="I102" s="428"/>
      <c r="J102" s="428"/>
      <c r="K102" s="428"/>
      <c r="L102" s="428"/>
      <c r="M102" s="428"/>
    </row>
    <row r="103" spans="1:40" ht="15.75" customHeight="1">
      <c r="A103" s="298"/>
      <c r="B103" s="404"/>
      <c r="C103" s="404"/>
      <c r="D103" s="404"/>
      <c r="E103" s="404"/>
      <c r="F103" s="404"/>
      <c r="G103" s="404"/>
      <c r="H103" s="406"/>
      <c r="I103" s="428"/>
      <c r="J103" s="428"/>
      <c r="K103" s="428"/>
      <c r="L103" s="428"/>
      <c r="M103" s="428"/>
    </row>
    <row r="104" spans="1:40" ht="15.75" customHeight="1">
      <c r="A104" s="298" t="s">
        <v>833</v>
      </c>
      <c r="B104" s="404" t="s">
        <v>740</v>
      </c>
      <c r="C104" s="404">
        <f>+'NEW...Tables 91-112'!L82</f>
        <v>48.294544587180972</v>
      </c>
      <c r="D104" s="404">
        <f>+'NEW...Tables 91-112'!L112</f>
        <v>0</v>
      </c>
      <c r="E104" s="404">
        <f>+'NEW...Tables 91-112'!L143</f>
        <v>79.594419755864322</v>
      </c>
      <c r="F104" s="404">
        <f>+'NEW...Tables 91-112'!L174</f>
        <v>38.848263254113348</v>
      </c>
      <c r="G104" s="404">
        <f>+'NEW...Tables 91-112'!L204</f>
        <v>0</v>
      </c>
      <c r="H104" s="406">
        <f>+'NEW...Tables 91-112'!L19</f>
        <v>35.396970370187518</v>
      </c>
      <c r="I104" s="428"/>
      <c r="J104" s="428"/>
      <c r="K104" s="428"/>
      <c r="L104" s="428"/>
      <c r="M104" s="428"/>
    </row>
    <row r="105" spans="1:40" ht="15.75" customHeight="1">
      <c r="A105" s="298" t="s">
        <v>834</v>
      </c>
      <c r="B105" s="404">
        <f>+'NEW...Tables 91-112'!L52</f>
        <v>18.581353768535461</v>
      </c>
      <c r="C105" s="404">
        <f>+'NEW...Tables 91-112'!L83</f>
        <v>61.078356261727897</v>
      </c>
      <c r="D105" s="404">
        <f>+'NEW...Tables 91-112'!L113</f>
        <v>37.742538910149044</v>
      </c>
      <c r="E105" s="404">
        <f>+'NEW...Tables 91-112'!L144</f>
        <v>64.374396468478409</v>
      </c>
      <c r="F105" s="404">
        <f>+'NEW...Tables 91-112'!L175</f>
        <v>52.40673662197991</v>
      </c>
      <c r="G105" s="404">
        <f>+'NEW...Tables 91-112'!L205</f>
        <v>16.326530612244898</v>
      </c>
      <c r="H105" s="406">
        <f>+'NEW...Tables 91-112'!L20</f>
        <v>28.984945119147376</v>
      </c>
      <c r="I105" s="428"/>
      <c r="J105" s="428"/>
      <c r="K105" s="428"/>
      <c r="L105" s="428"/>
      <c r="M105" s="428"/>
    </row>
    <row r="106" spans="1:40" ht="15.75" customHeight="1">
      <c r="A106" s="298" t="s">
        <v>835</v>
      </c>
      <c r="B106" s="404">
        <f>+'NEW...Tables 91-112'!L53</f>
        <v>21.490514528322002</v>
      </c>
      <c r="C106" s="404">
        <f>+'NEW...Tables 91-112'!L84</f>
        <v>0</v>
      </c>
      <c r="D106" s="404">
        <f>+'NEW...Tables 91-112'!L114</f>
        <v>17.833767938245806</v>
      </c>
      <c r="E106" s="404">
        <f>+'NEW...Tables 91-112'!L145</f>
        <v>134.56557456267518</v>
      </c>
      <c r="F106" s="404">
        <f>+'NEW...Tables 91-112'!L176</f>
        <v>66.572077185017022</v>
      </c>
      <c r="G106" s="404">
        <f>+'NEW...Tables 91-112'!L206</f>
        <v>5.2287581699346406</v>
      </c>
      <c r="H106" s="406">
        <f>+'NEW...Tables 91-112'!L21</f>
        <v>31.21963570761659</v>
      </c>
      <c r="I106" s="428"/>
      <c r="J106" s="428"/>
      <c r="K106" s="428"/>
      <c r="L106" s="428"/>
      <c r="M106" s="428"/>
    </row>
    <row r="107" spans="1:40" ht="15.75" customHeight="1">
      <c r="A107" s="298" t="s">
        <v>836</v>
      </c>
      <c r="B107" s="404">
        <f>+'NEW...Tables 91-112'!L54</f>
        <v>23.940475286614532</v>
      </c>
      <c r="C107" s="404">
        <f>+'NEW...Tables 91-112'!L85</f>
        <v>0</v>
      </c>
      <c r="D107" s="404">
        <f>+'NEW...Tables 91-112'!L115</f>
        <v>33.807102921109518</v>
      </c>
      <c r="E107" s="404">
        <f>+'NEW...Tables 91-112'!L146</f>
        <v>53.828571428571422</v>
      </c>
      <c r="F107" s="404">
        <f>+'NEW...Tables 91-112'!L177</f>
        <v>20.479115479115478</v>
      </c>
      <c r="G107" s="404">
        <f>+'NEW...Tables 91-112'!L207</f>
        <v>74.567545304777596</v>
      </c>
      <c r="H107" s="406">
        <f>+'NEW...Tables 91-112'!L22</f>
        <v>26.860992696553829</v>
      </c>
      <c r="I107" s="428"/>
      <c r="J107" s="428"/>
      <c r="K107" s="428"/>
      <c r="L107" s="428"/>
      <c r="M107" s="428"/>
    </row>
    <row r="108" spans="1:40" ht="15.75" customHeight="1">
      <c r="A108" s="298"/>
      <c r="B108" s="404"/>
      <c r="C108" s="404"/>
      <c r="D108" s="404"/>
      <c r="E108" s="404"/>
      <c r="F108" s="404"/>
      <c r="G108" s="404"/>
      <c r="H108" s="406"/>
      <c r="I108" s="428"/>
      <c r="J108" s="428"/>
      <c r="K108" s="428"/>
      <c r="L108" s="428"/>
      <c r="M108" s="428"/>
    </row>
    <row r="109" spans="1:40" ht="15.75" customHeight="1">
      <c r="A109" s="298" t="s">
        <v>837</v>
      </c>
      <c r="B109" s="404">
        <f>+'NEW...Tables 91-112'!L56</f>
        <v>27.504098577397006</v>
      </c>
      <c r="C109" s="404">
        <f>+'NEW...Tables 91-112'!L87</f>
        <v>39.453027300536775</v>
      </c>
      <c r="D109" s="404">
        <f>+'NEW...Tables 91-112'!L117</f>
        <v>55.258279883860176</v>
      </c>
      <c r="E109" s="404">
        <f>+'NEW...Tables 91-112'!L148</f>
        <v>0</v>
      </c>
      <c r="F109" s="404">
        <f>+'NEW...Tables 91-112'!L179</f>
        <v>85.290967511603</v>
      </c>
      <c r="G109" s="404">
        <f>+'NEW...Tables 91-112'!L209</f>
        <v>0</v>
      </c>
      <c r="H109" s="406">
        <f>+'NEW...Tables 91-112'!L24</f>
        <v>37.628073054082023</v>
      </c>
      <c r="I109" s="428"/>
      <c r="J109" s="428"/>
      <c r="K109" s="428"/>
      <c r="L109" s="428"/>
      <c r="M109" s="428"/>
    </row>
    <row r="110" spans="1:40" ht="15.75" customHeight="1">
      <c r="A110" s="298" t="s">
        <v>838</v>
      </c>
      <c r="B110" s="404">
        <f>+'NEW...Tables 91-112'!L57</f>
        <v>21.928404846792105</v>
      </c>
      <c r="C110" s="404">
        <f>+'NEW...Tables 91-112'!L88</f>
        <v>38.038370148728326</v>
      </c>
      <c r="D110" s="404">
        <f>+'NEW...Tables 91-112'!L118</f>
        <v>64.156777796380894</v>
      </c>
      <c r="E110" s="404">
        <f>+'NEW...Tables 91-112'!L149</f>
        <v>77.673074506847598</v>
      </c>
      <c r="F110" s="404">
        <f>+'NEW...Tables 91-112'!L180</f>
        <v>81.986998962457903</v>
      </c>
      <c r="G110" s="404">
        <f>+'NEW...Tables 91-112'!L210</f>
        <v>0</v>
      </c>
      <c r="H110" s="406">
        <f>+'NEW...Tables 91-112'!L25</f>
        <v>38.06564804160864</v>
      </c>
      <c r="I110" s="428"/>
      <c r="J110" s="428"/>
      <c r="K110" s="428"/>
      <c r="L110" s="428"/>
      <c r="M110" s="428"/>
    </row>
    <row r="111" spans="1:40" s="345" customFormat="1" ht="15.75" customHeight="1">
      <c r="A111" s="298" t="s">
        <v>839</v>
      </c>
      <c r="B111" s="404">
        <f>+'NEW...Tables 91-112'!L58</f>
        <v>15.36847694879874</v>
      </c>
      <c r="C111" s="404">
        <f>+'NEW...Tables 91-112'!L89</f>
        <v>12.423241590214069</v>
      </c>
      <c r="D111" s="404">
        <f>+'NEW...Tables 91-112'!L119</f>
        <v>25.933895849915228</v>
      </c>
      <c r="E111" s="404">
        <f>+'NEW...Tables 91-112'!L150</f>
        <v>0</v>
      </c>
      <c r="F111" s="404">
        <f>+'NEW...Tables 91-112'!L181</f>
        <v>0</v>
      </c>
      <c r="G111" s="404">
        <f>+'NEW...Tables 91-112'!L211</f>
        <v>0</v>
      </c>
      <c r="H111" s="406">
        <f>+'NEW...Tables 91-112'!L26</f>
        <v>16.213995023635015</v>
      </c>
      <c r="I111" s="428"/>
      <c r="J111" s="428"/>
      <c r="K111" s="428"/>
      <c r="L111" s="428"/>
      <c r="M111" s="428"/>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row>
    <row r="112" spans="1:40" s="345" customFormat="1" ht="13.5" customHeight="1">
      <c r="A112" s="298" t="s">
        <v>840</v>
      </c>
      <c r="B112" s="404">
        <f>+'NEW...Tables 91-112'!L59</f>
        <v>28.613884374274434</v>
      </c>
      <c r="C112" s="404">
        <f>+'NEW...Tables 91-112'!L90</f>
        <v>0</v>
      </c>
      <c r="D112" s="404">
        <f>+'NEW...Tables 91-112'!L120</f>
        <v>32.132947635633741</v>
      </c>
      <c r="E112" s="404">
        <f>+'NEW...Tables 91-112'!L151</f>
        <v>0</v>
      </c>
      <c r="F112" s="404">
        <f>+'NEW...Tables 91-112'!L182</f>
        <v>53.767154004843476</v>
      </c>
      <c r="G112" s="404">
        <f>+'NEW...Tables 91-112'!L212</f>
        <v>28.90625</v>
      </c>
      <c r="H112" s="406">
        <f>+'NEW...Tables 91-112'!L27</f>
        <v>33.095608914385593</v>
      </c>
      <c r="I112" s="428"/>
      <c r="J112" s="428"/>
      <c r="K112" s="428"/>
      <c r="L112" s="428"/>
      <c r="M112" s="428"/>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row>
    <row r="113" spans="1:40" s="345" customFormat="1" ht="35.25" customHeight="1">
      <c r="A113" s="451" t="s">
        <v>925</v>
      </c>
      <c r="B113" s="451"/>
      <c r="C113" s="451"/>
      <c r="D113" s="451"/>
      <c r="E113" s="451"/>
      <c r="F113" s="451"/>
      <c r="G113" s="451"/>
      <c r="H113" s="451"/>
      <c r="I113" s="349"/>
      <c r="J113" s="349"/>
      <c r="K113" s="349"/>
      <c r="L113" s="349"/>
      <c r="M113" s="349"/>
    </row>
    <row r="114" spans="1:40" ht="27" customHeight="1">
      <c r="A114" s="455" t="s">
        <v>919</v>
      </c>
      <c r="B114" s="456"/>
      <c r="C114" s="456"/>
      <c r="D114" s="456"/>
      <c r="E114" s="456"/>
      <c r="F114" s="456"/>
      <c r="G114" s="456"/>
      <c r="H114" s="456"/>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row>
    <row r="115" spans="1:40" ht="9.75" customHeight="1">
      <c r="A115" s="344"/>
      <c r="B115" s="386"/>
      <c r="C115" s="386"/>
      <c r="D115" s="386"/>
      <c r="E115" s="386"/>
      <c r="F115" s="386"/>
      <c r="G115" s="386"/>
      <c r="H115" s="386"/>
      <c r="I115" s="386"/>
      <c r="J115" s="386"/>
      <c r="K115" s="386"/>
      <c r="L115" s="386"/>
      <c r="M115" s="386"/>
      <c r="N115" s="386"/>
      <c r="O115" s="386"/>
      <c r="P115" s="386"/>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row>
    <row r="116" spans="1:40">
      <c r="A116" s="345"/>
      <c r="B116" s="345"/>
      <c r="C116" s="345"/>
      <c r="D116" s="345"/>
      <c r="E116" s="345"/>
      <c r="F116" s="345"/>
      <c r="G116" s="345"/>
      <c r="H116" s="351" t="s">
        <v>980</v>
      </c>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row>
  </sheetData>
  <mergeCells count="11">
    <mergeCell ref="A54:P54"/>
    <mergeCell ref="A55:P55"/>
    <mergeCell ref="A85:H85"/>
    <mergeCell ref="A113:H113"/>
    <mergeCell ref="A114:H114"/>
    <mergeCell ref="A31:P31"/>
    <mergeCell ref="A1:P1"/>
    <mergeCell ref="B5:H5"/>
    <mergeCell ref="I5:M5"/>
    <mergeCell ref="A26:P26"/>
    <mergeCell ref="A29:P29"/>
  </mergeCells>
  <pageMargins left="0.7" right="0.7" top="0.75" bottom="0.75" header="0.3" footer="0.3"/>
  <pageSetup firstPageNumber="96" orientation="landscape" useFirstPageNumber="1" r:id="rId1"/>
  <headerFooter>
    <oddHeader>&amp;R&amp;"Arial,Regular"&amp;8SREB-State Data Exchange</oddHeader>
    <oddFooter>&amp;C&amp;P</oddFooter>
  </headerFooter>
  <rowBreaks count="3" manualBreakCount="3">
    <brk id="28" max="15" man="1"/>
    <brk id="57" max="15" man="1"/>
    <brk id="86"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E5D8-F005-4FD0-BADD-5CE62099FFE2}">
  <sheetPr>
    <tabColor theme="5" tint="0.59999389629810485"/>
  </sheetPr>
  <dimension ref="A1:P113"/>
  <sheetViews>
    <sheetView showZeros="0" view="pageBreakPreview" topLeftCell="A37" zoomScaleNormal="100" zoomScaleSheetLayoutView="100" workbookViewId="0">
      <selection activeCell="R53" sqref="R53"/>
    </sheetView>
  </sheetViews>
  <sheetFormatPr defaultRowHeight="15"/>
  <cols>
    <col min="1" max="1" width="9.88671875" style="226" customWidth="1"/>
    <col min="2" max="8" width="5.6640625" style="226" customWidth="1"/>
    <col min="9" max="9" width="5.6640625" style="174" customWidth="1"/>
    <col min="10" max="16" width="5.6640625" style="226" customWidth="1"/>
    <col min="17" max="16384" width="8.88671875" style="226"/>
  </cols>
  <sheetData>
    <row r="1" spans="1:16" ht="18">
      <c r="A1" s="387" t="s">
        <v>906</v>
      </c>
      <c r="B1" s="294"/>
      <c r="C1" s="294"/>
      <c r="D1" s="294"/>
      <c r="E1" s="294"/>
      <c r="F1" s="294"/>
      <c r="G1" s="388"/>
      <c r="H1" s="388"/>
      <c r="I1" s="389"/>
      <c r="J1" s="388"/>
      <c r="K1" s="388"/>
      <c r="L1" s="388"/>
      <c r="M1" s="388"/>
      <c r="N1" s="388"/>
      <c r="O1" s="388"/>
      <c r="P1" s="388"/>
    </row>
    <row r="2" spans="1:16" s="298" customFormat="1" ht="12.75">
      <c r="A2" s="299"/>
      <c r="B2" s="295"/>
      <c r="C2" s="295"/>
      <c r="D2" s="295"/>
      <c r="E2" s="295"/>
      <c r="F2" s="295"/>
      <c r="G2" s="295"/>
      <c r="H2" s="295"/>
      <c r="I2" s="295"/>
      <c r="J2" s="295"/>
      <c r="K2" s="295"/>
      <c r="L2" s="295"/>
      <c r="M2" s="295"/>
      <c r="N2" s="295"/>
      <c r="O2" s="295"/>
      <c r="P2" s="295"/>
    </row>
    <row r="3" spans="1:16" ht="15.75">
      <c r="A3" s="390" t="s">
        <v>926</v>
      </c>
      <c r="B3" s="295"/>
      <c r="C3" s="295"/>
      <c r="D3" s="295"/>
      <c r="E3" s="295"/>
      <c r="F3" s="295"/>
      <c r="G3" s="388"/>
      <c r="H3" s="388"/>
      <c r="I3" s="389"/>
      <c r="J3" s="388"/>
      <c r="K3" s="388"/>
      <c r="L3" s="388"/>
      <c r="M3" s="388"/>
      <c r="N3" s="388"/>
      <c r="O3" s="388"/>
      <c r="P3" s="388"/>
    </row>
    <row r="4" spans="1:16">
      <c r="A4" s="391"/>
      <c r="B4" s="392"/>
      <c r="C4" s="392"/>
      <c r="D4" s="392"/>
      <c r="E4" s="392"/>
      <c r="F4" s="392"/>
      <c r="G4" s="392"/>
      <c r="H4" s="392"/>
      <c r="I4" s="393"/>
      <c r="J4" s="392"/>
      <c r="K4" s="392"/>
      <c r="L4" s="392"/>
    </row>
    <row r="5" spans="1:16" s="399" customFormat="1" ht="18" customHeight="1">
      <c r="A5" s="394"/>
      <c r="B5" s="459" t="s">
        <v>724</v>
      </c>
      <c r="C5" s="459"/>
      <c r="D5" s="459"/>
      <c r="E5" s="459"/>
      <c r="F5" s="459"/>
      <c r="G5" s="459"/>
      <c r="H5" s="460"/>
      <c r="I5" s="461" t="s">
        <v>727</v>
      </c>
      <c r="J5" s="459"/>
      <c r="K5" s="459"/>
      <c r="L5" s="459"/>
      <c r="M5" s="459"/>
      <c r="N5" s="397" t="s">
        <v>743</v>
      </c>
      <c r="O5" s="398"/>
      <c r="P5" s="398"/>
    </row>
    <row r="6" spans="1:16" s="403" customFormat="1" ht="25.5">
      <c r="A6" s="400"/>
      <c r="B6" s="395">
        <v>1</v>
      </c>
      <c r="C6" s="395">
        <v>2</v>
      </c>
      <c r="D6" s="395">
        <v>3</v>
      </c>
      <c r="E6" s="395">
        <v>4</v>
      </c>
      <c r="F6" s="395">
        <v>5</v>
      </c>
      <c r="G6" s="395">
        <v>6</v>
      </c>
      <c r="H6" s="401" t="s">
        <v>907</v>
      </c>
      <c r="I6" s="402" t="s">
        <v>908</v>
      </c>
      <c r="J6" s="395">
        <v>1</v>
      </c>
      <c r="K6" s="395">
        <v>2</v>
      </c>
      <c r="L6" s="395">
        <v>3</v>
      </c>
      <c r="M6" s="396" t="s">
        <v>909</v>
      </c>
      <c r="N6" s="396">
        <v>1</v>
      </c>
      <c r="O6" s="395">
        <v>2</v>
      </c>
      <c r="P6" s="396" t="s">
        <v>909</v>
      </c>
    </row>
    <row r="7" spans="1:16" ht="15.75" customHeight="1">
      <c r="A7" s="298" t="s">
        <v>825</v>
      </c>
      <c r="B7" s="404">
        <f>+'OLD...Tabs'!B41+'OLD...Tabs'!C41</f>
        <v>88.461506388674039</v>
      </c>
      <c r="C7" s="404">
        <f>+'OLD...Tabs'!B72+'OLD...Tabs'!C72</f>
        <v>89.636136527939968</v>
      </c>
      <c r="D7" s="404">
        <f>+'OLD...Tabs'!B102+'OLD...Tabs'!C102</f>
        <v>79.035987337667024</v>
      </c>
      <c r="E7" s="404">
        <f>+'OLD...Tabs'!B133+'OLD...Tabs'!C133</f>
        <v>82.87184543550714</v>
      </c>
      <c r="F7" s="404">
        <f>+'OLD...Tabs'!B164+'OLD...Tabs'!C164</f>
        <v>89.840161225838571</v>
      </c>
      <c r="G7" s="404">
        <f>+'OLD...Tabs'!B194+'OLD...Tabs'!C194</f>
        <v>22.888905468924868</v>
      </c>
      <c r="H7" s="405">
        <f>+'OLD...Tabs'!B9+'OLD...Tabs'!C9</f>
        <v>85.103848211237363</v>
      </c>
      <c r="I7" s="406">
        <f>+'OLD...Tabs'!B256+'OLD...Tabs'!C256</f>
        <v>0</v>
      </c>
      <c r="J7" s="404">
        <f>+'OLD...Tabs'!B287+'OLD...Tabs'!C287</f>
        <v>67.436898171584716</v>
      </c>
      <c r="K7" s="404">
        <f>+'OLD...Tabs'!B318+'OLD...Tabs'!C318</f>
        <v>80.330635193310044</v>
      </c>
      <c r="L7" s="404">
        <f>+'OLD...Tabs'!B349+'OLD...Tabs'!C349</f>
        <v>71.162286469017175</v>
      </c>
      <c r="M7" s="406">
        <f>+'OLD...Tabs'!B225+'OLD...Tabs'!C225</f>
        <v>75.502699640681413</v>
      </c>
      <c r="N7" s="407">
        <f>+'OLD...Tabs'!B410+'OLD...Tabs'!C410</f>
        <v>91.756316927128623</v>
      </c>
      <c r="O7" s="333">
        <f>+'OLD...Tabs'!B440+'OLD...Tabs'!C440</f>
        <v>90.107275910049822</v>
      </c>
      <c r="P7" s="408">
        <f>+'OLD...Tabs'!B380+'OLD...Tabs'!C380</f>
        <v>90.889902956123905</v>
      </c>
    </row>
    <row r="8" spans="1:16" ht="15.75" customHeight="1">
      <c r="A8" s="298" t="s">
        <v>826</v>
      </c>
      <c r="B8" s="404">
        <f>+'OLD...Tabs'!B42+'OLD...Tabs'!C42</f>
        <v>90.796501360684687</v>
      </c>
      <c r="C8" s="404">
        <f>+'OLD...Tabs'!B73+'OLD...Tabs'!C73</f>
        <v>64.971948998178505</v>
      </c>
      <c r="D8" s="404">
        <f>+'OLD...Tabs'!B103+'OLD...Tabs'!C103</f>
        <v>78.342922263864907</v>
      </c>
      <c r="E8" s="404">
        <f>+'OLD...Tabs'!B134+'OLD...Tabs'!C134</f>
        <v>81.609484944665567</v>
      </c>
      <c r="F8" s="404">
        <f>+'OLD...Tabs'!B165+'OLD...Tabs'!C165</f>
        <v>76.302632290146477</v>
      </c>
      <c r="G8" s="404">
        <f>+'OLD...Tabs'!B195+'OLD...Tabs'!C195</f>
        <v>77.85195247644306</v>
      </c>
      <c r="H8" s="409">
        <f>+'OLD...Tabs'!B10+'OLD...Tabs'!C10</f>
        <v>80.946173667943754</v>
      </c>
      <c r="I8" s="406">
        <f>+'OLD...Tabs'!B257+'OLD...Tabs'!C257</f>
        <v>0</v>
      </c>
      <c r="J8" s="404">
        <f>+'OLD...Tabs'!B288+'OLD...Tabs'!C288</f>
        <v>72.062068000186642</v>
      </c>
      <c r="K8" s="404">
        <f>+'OLD...Tabs'!B319+'OLD...Tabs'!C319</f>
        <v>69.574965691864634</v>
      </c>
      <c r="L8" s="404">
        <f>+'OLD...Tabs'!B350+'OLD...Tabs'!C350</f>
        <v>74.086772978377454</v>
      </c>
      <c r="M8" s="406">
        <f>+'OLD...Tabs'!B226+'OLD...Tabs'!C226</f>
        <v>72.785646618209427</v>
      </c>
      <c r="N8" s="407">
        <f>+'OLD...Tabs'!B411+'OLD...Tabs'!C411</f>
        <v>0</v>
      </c>
      <c r="O8" s="333">
        <f>+'OLD...Tabs'!B441+'OLD...Tabs'!C441</f>
        <v>0</v>
      </c>
      <c r="P8" s="406">
        <f>+'OLD...Tabs'!B381+'OLD...Tabs'!C381</f>
        <v>0</v>
      </c>
    </row>
    <row r="9" spans="1:16" ht="15.75" customHeight="1">
      <c r="A9" s="298" t="s">
        <v>827</v>
      </c>
      <c r="B9" s="404">
        <f>+'OLD...Tabs'!B43+'OLD...Tabs'!C43</f>
        <v>96.399075104907084</v>
      </c>
      <c r="C9" s="404">
        <f>+'OLD...Tabs'!B74+'OLD...Tabs'!C74</f>
        <v>0</v>
      </c>
      <c r="D9" s="404">
        <f>+'OLD...Tabs'!B104+'OLD...Tabs'!C104</f>
        <v>94.523824969995786</v>
      </c>
      <c r="E9" s="404">
        <f>+'OLD...Tabs'!B135+'OLD...Tabs'!C135</f>
        <v>0</v>
      </c>
      <c r="F9" s="404">
        <f>+'OLD...Tabs'!B166+'OLD...Tabs'!C166</f>
        <v>0</v>
      </c>
      <c r="G9" s="404">
        <f>+'OLD...Tabs'!B196+'OLD...Tabs'!C196</f>
        <v>0</v>
      </c>
      <c r="H9" s="409">
        <f>+'OLD...Tabs'!B11+'OLD...Tabs'!C11</f>
        <v>96.072067944443035</v>
      </c>
      <c r="I9" s="406">
        <f>+'OLD...Tabs'!B258+'OLD...Tabs'!C258</f>
        <v>0</v>
      </c>
      <c r="J9" s="404">
        <f>+'OLD...Tabs'!B289+'OLD...Tabs'!C289</f>
        <v>0</v>
      </c>
      <c r="K9" s="404">
        <f>+'OLD...Tabs'!B320+'OLD...Tabs'!C320</f>
        <v>83.456419910633556</v>
      </c>
      <c r="L9" s="404">
        <f>+'OLD...Tabs'!B351+'OLD...Tabs'!C351</f>
        <v>0</v>
      </c>
      <c r="M9" s="406">
        <f>+'OLD...Tabs'!B227+'OLD...Tabs'!C227</f>
        <v>83.456419910633556</v>
      </c>
      <c r="N9" s="407">
        <f>+'OLD...Tabs'!B412+'OLD...Tabs'!C412</f>
        <v>0</v>
      </c>
      <c r="O9" s="333">
        <f>+'OLD...Tabs'!B442+'OLD...Tabs'!C442</f>
        <v>0</v>
      </c>
      <c r="P9" s="406">
        <f>+'OLD...Tabs'!B382+'OLD...Tabs'!C382</f>
        <v>0</v>
      </c>
    </row>
    <row r="10" spans="1:16" ht="15.75" customHeight="1">
      <c r="A10" s="298" t="s">
        <v>828</v>
      </c>
      <c r="B10" s="404">
        <f>+'OLD...Tabs'!B44+'OLD...Tabs'!C44</f>
        <v>0</v>
      </c>
      <c r="C10" s="404">
        <f>+'OLD...Tabs'!B75+'OLD...Tabs'!C75</f>
        <v>0</v>
      </c>
      <c r="D10" s="404">
        <f>+'OLD...Tabs'!B105+'OLD...Tabs'!C105</f>
        <v>0</v>
      </c>
      <c r="E10" s="404">
        <f>+'OLD...Tabs'!B136+'OLD...Tabs'!C136</f>
        <v>0</v>
      </c>
      <c r="F10" s="404">
        <f>+'OLD...Tabs'!B167+'OLD...Tabs'!C167</f>
        <v>0</v>
      </c>
      <c r="G10" s="404">
        <f>+'OLD...Tabs'!B197+'OLD...Tabs'!C197</f>
        <v>0</v>
      </c>
      <c r="H10" s="409">
        <f>+'OLD...Tabs'!B12+'OLD...Tabs'!C12</f>
        <v>0</v>
      </c>
      <c r="I10" s="406">
        <f>+'OLD...Tabs'!B259+'OLD...Tabs'!C259</f>
        <v>73.650053792322197</v>
      </c>
      <c r="J10" s="404">
        <f>+'OLD...Tabs'!B290+'OLD...Tabs'!C290</f>
        <v>73.871061287931099</v>
      </c>
      <c r="K10" s="404">
        <f>+'OLD...Tabs'!B321+'OLD...Tabs'!C321</f>
        <v>0</v>
      </c>
      <c r="L10" s="404">
        <f>+'OLD...Tabs'!B352+'OLD...Tabs'!C352</f>
        <v>70.995271867612303</v>
      </c>
      <c r="M10" s="406">
        <f>+'OLD...Tabs'!B228+'OLD...Tabs'!C228</f>
        <v>73.657746708611569</v>
      </c>
      <c r="N10" s="407">
        <f>+'OLD...Tabs'!B413+'OLD...Tabs'!C413</f>
        <v>0</v>
      </c>
      <c r="O10" s="333">
        <f>+'OLD...Tabs'!B443+'OLD...Tabs'!C443</f>
        <v>0</v>
      </c>
      <c r="P10" s="406">
        <f>+'OLD...Tabs'!B383+'OLD...Tabs'!C383</f>
        <v>0</v>
      </c>
    </row>
    <row r="11" spans="1:16" ht="15.75" customHeight="1">
      <c r="A11" s="298"/>
      <c r="B11" s="404"/>
      <c r="C11" s="404"/>
      <c r="D11" s="404"/>
      <c r="E11" s="404"/>
      <c r="F11" s="404"/>
      <c r="G11" s="404"/>
      <c r="H11" s="409"/>
      <c r="I11" s="406"/>
      <c r="J11" s="404"/>
      <c r="K11" s="404"/>
      <c r="L11" s="404"/>
      <c r="M11" s="406"/>
      <c r="N11" s="407"/>
      <c r="O11" s="333"/>
      <c r="P11" s="406"/>
    </row>
    <row r="12" spans="1:16" ht="15.75" customHeight="1">
      <c r="A12" s="298" t="s">
        <v>829</v>
      </c>
      <c r="B12" s="404">
        <f>+'OLD...Tabs'!B46+'OLD...Tabs'!C46</f>
        <v>87.520966876274159</v>
      </c>
      <c r="C12" s="404">
        <f>+'OLD...Tabs'!B77+'OLD...Tabs'!C77</f>
        <v>98.509053884997854</v>
      </c>
      <c r="D12" s="404">
        <f>+'OLD...Tabs'!B107+'OLD...Tabs'!C107</f>
        <v>77.284101369600933</v>
      </c>
      <c r="E12" s="404">
        <f>+'OLD...Tabs'!B138+'OLD...Tabs'!C138</f>
        <v>82.400471335328845</v>
      </c>
      <c r="F12" s="404">
        <f>+'OLD...Tabs'!B169+'OLD...Tabs'!C169</f>
        <v>90.80971692822834</v>
      </c>
      <c r="G12" s="404">
        <f>+'OLD...Tabs'!B199+'OLD...Tabs'!C199</f>
        <v>86.169189654739412</v>
      </c>
      <c r="H12" s="409">
        <f>+'OLD...Tabs'!B14+'OLD...Tabs'!C14</f>
        <v>84.008531112555033</v>
      </c>
      <c r="I12" s="406">
        <f>+'OLD...Tabs'!B261+'OLD...Tabs'!C261</f>
        <v>80.717948923899911</v>
      </c>
      <c r="J12" s="404">
        <f>+'OLD...Tabs'!B292+'OLD...Tabs'!C292</f>
        <v>0</v>
      </c>
      <c r="K12" s="404">
        <f>+'OLD...Tabs'!B323+'OLD...Tabs'!C323</f>
        <v>0</v>
      </c>
      <c r="L12" s="404">
        <f>+'OLD...Tabs'!B354+'OLD...Tabs'!C354</f>
        <v>64.078067093420614</v>
      </c>
      <c r="M12" s="406">
        <f>+'OLD...Tabs'!B230+'OLD...Tabs'!C230</f>
        <v>79.436425505415571</v>
      </c>
      <c r="N12" s="407">
        <f>+'OLD...Tabs'!B415+'OLD...Tabs'!C415</f>
        <v>66.080643318978389</v>
      </c>
      <c r="O12" s="333">
        <f>+'OLD...Tabs'!B445+'OLD...Tabs'!C445</f>
        <v>0</v>
      </c>
      <c r="P12" s="406">
        <f>+'OLD...Tabs'!B385+'OLD...Tabs'!C385</f>
        <v>66.080643318978389</v>
      </c>
    </row>
    <row r="13" spans="1:16" ht="15.75" customHeight="1">
      <c r="A13" s="298" t="s">
        <v>830</v>
      </c>
      <c r="B13" s="404">
        <f>+'OLD...Tabs'!B47+'OLD...Tabs'!C47</f>
        <v>90.628596654421628</v>
      </c>
      <c r="C13" s="404">
        <f>+'OLD...Tabs'!B78+'OLD...Tabs'!C78</f>
        <v>0</v>
      </c>
      <c r="D13" s="404">
        <f>+'OLD...Tabs'!B108+'OLD...Tabs'!C108</f>
        <v>80.385374317983917</v>
      </c>
      <c r="E13" s="404">
        <f>+'OLD...Tabs'!B139+'OLD...Tabs'!C139</f>
        <v>69.371858158597888</v>
      </c>
      <c r="F13" s="404">
        <f>+'OLD...Tabs'!B170+'OLD...Tabs'!C170</f>
        <v>0</v>
      </c>
      <c r="G13" s="404">
        <f>+'OLD...Tabs'!B200+'OLD...Tabs'!C200</f>
        <v>0</v>
      </c>
      <c r="H13" s="409">
        <f>+'OLD...Tabs'!B15+'OLD...Tabs'!C15</f>
        <v>84.26889010593311</v>
      </c>
      <c r="I13" s="406">
        <f>+'OLD...Tabs'!B262+'OLD...Tabs'!C262</f>
        <v>0</v>
      </c>
      <c r="J13" s="404">
        <f>+'OLD...Tabs'!B293+'OLD...Tabs'!C293</f>
        <v>66.50878457682829</v>
      </c>
      <c r="K13" s="404">
        <f>+'OLD...Tabs'!B324+'OLD...Tabs'!C324</f>
        <v>55.27034275135388</v>
      </c>
      <c r="L13" s="404">
        <f>+'OLD...Tabs'!B355+'OLD...Tabs'!C355</f>
        <v>57.67491842675993</v>
      </c>
      <c r="M13" s="406">
        <f>+'OLD...Tabs'!B231+'OLD...Tabs'!C231</f>
        <v>59.320613268884713</v>
      </c>
      <c r="N13" s="407">
        <f>+'OLD...Tabs'!B416+'OLD...Tabs'!C416</f>
        <v>68.361528547232325</v>
      </c>
      <c r="O13" s="333">
        <f>+'OLD...Tabs'!B446+'OLD...Tabs'!C446</f>
        <v>0</v>
      </c>
      <c r="P13" s="406">
        <f>+'OLD...Tabs'!B386+'OLD...Tabs'!C386</f>
        <v>68.361528547232325</v>
      </c>
    </row>
    <row r="14" spans="1:16" ht="15.75" customHeight="1">
      <c r="A14" s="298" t="s">
        <v>831</v>
      </c>
      <c r="B14" s="404">
        <f>+'OLD...Tabs'!B48+'OLD...Tabs'!C48</f>
        <v>96.910112359550567</v>
      </c>
      <c r="C14" s="404">
        <f>+'OLD...Tabs'!B79+'OLD...Tabs'!C79</f>
        <v>87.776820581430627</v>
      </c>
      <c r="D14" s="404">
        <f>+'OLD...Tabs'!B109+'OLD...Tabs'!C109</f>
        <v>80.361422086224962</v>
      </c>
      <c r="E14" s="404">
        <f>+'OLD...Tabs'!B140+'OLD...Tabs'!C140</f>
        <v>71.31514311546475</v>
      </c>
      <c r="F14" s="404">
        <f>+'OLD...Tabs'!B171+'OLD...Tabs'!C171</f>
        <v>87.707317073170714</v>
      </c>
      <c r="G14" s="404">
        <f>+'OLD...Tabs'!B201+'OLD...Tabs'!C201</f>
        <v>64.48</v>
      </c>
      <c r="H14" s="409">
        <f>+'OLD...Tabs'!B16+'OLD...Tabs'!C16</f>
        <v>84.326126611231771</v>
      </c>
      <c r="I14" s="406">
        <f>+'OLD...Tabs'!B263+'OLD...Tabs'!C263</f>
        <v>0</v>
      </c>
      <c r="J14" s="404">
        <f>+'OLD...Tabs'!B294+'OLD...Tabs'!C294</f>
        <v>80.120721247605388</v>
      </c>
      <c r="K14" s="404">
        <f>+'OLD...Tabs'!B325+'OLD...Tabs'!C325</f>
        <v>84.076742200206994</v>
      </c>
      <c r="L14" s="404">
        <f>+'OLD...Tabs'!B356+'OLD...Tabs'!C356</f>
        <v>71.19475710095854</v>
      </c>
      <c r="M14" s="406">
        <f>+'OLD...Tabs'!B232+'OLD...Tabs'!C232</f>
        <v>79.896506082261809</v>
      </c>
      <c r="N14" s="407">
        <f>+'OLD...Tabs'!B417+'OLD...Tabs'!C417</f>
        <v>85.049681222156266</v>
      </c>
      <c r="O14" s="333">
        <f>+'OLD...Tabs'!B447+'OLD...Tabs'!C447</f>
        <v>0</v>
      </c>
      <c r="P14" s="406">
        <f>+'OLD...Tabs'!B387+'OLD...Tabs'!C387</f>
        <v>85.049681222156266</v>
      </c>
    </row>
    <row r="15" spans="1:16" ht="15.75" customHeight="1">
      <c r="A15" s="298" t="s">
        <v>832</v>
      </c>
      <c r="B15" s="404">
        <f>+'OLD...Tabs'!B49+'OLD...Tabs'!C49</f>
        <v>95.786315018315008</v>
      </c>
      <c r="C15" s="404">
        <f>+'OLD...Tabs'!B80+'OLD...Tabs'!C80</f>
        <v>88.746910711329292</v>
      </c>
      <c r="D15" s="404">
        <f>+'OLD...Tabs'!B110+'OLD...Tabs'!C110</f>
        <v>86.647831259150806</v>
      </c>
      <c r="E15" s="404">
        <f>+'OLD...Tabs'!B141+'OLD...Tabs'!C141</f>
        <v>85.0203678663445</v>
      </c>
      <c r="F15" s="404">
        <f>+'OLD...Tabs'!B172+'OLD...Tabs'!C172</f>
        <v>79.385346534653465</v>
      </c>
      <c r="G15" s="404">
        <f>+'OLD...Tabs'!B202+'OLD...Tabs'!C202</f>
        <v>100</v>
      </c>
      <c r="H15" s="409">
        <f>+'OLD...Tabs'!B17+'OLD...Tabs'!C17</f>
        <v>70.480820803698847</v>
      </c>
      <c r="I15" s="406">
        <f>+'OLD...Tabs'!B264+'OLD...Tabs'!C264</f>
        <v>0</v>
      </c>
      <c r="J15" s="404">
        <f>+'OLD...Tabs'!B295+'OLD...Tabs'!C295</f>
        <v>83.107004155617688</v>
      </c>
      <c r="K15" s="404">
        <f>+'OLD...Tabs'!B326+'OLD...Tabs'!C326</f>
        <v>73.611341811706026</v>
      </c>
      <c r="L15" s="404">
        <f>+'OLD...Tabs'!B357+'OLD...Tabs'!C357</f>
        <v>77.083868214236887</v>
      </c>
      <c r="M15" s="406">
        <f>+'OLD...Tabs'!B233+'OLD...Tabs'!C233</f>
        <v>80.983899516966616</v>
      </c>
      <c r="N15" s="407">
        <f>+'OLD...Tabs'!B418+'OLD...Tabs'!C418</f>
        <v>0</v>
      </c>
      <c r="O15" s="333">
        <f>+'OLD...Tabs'!B448+'OLD...Tabs'!C448</f>
        <v>0</v>
      </c>
      <c r="P15" s="406">
        <f>+'OLD...Tabs'!B388+'OLD...Tabs'!C388</f>
        <v>0</v>
      </c>
    </row>
    <row r="16" spans="1:16" ht="15.75" customHeight="1">
      <c r="A16" s="298"/>
      <c r="B16" s="404"/>
      <c r="C16" s="404"/>
      <c r="D16" s="404"/>
      <c r="E16" s="404"/>
      <c r="F16" s="404"/>
      <c r="G16" s="404"/>
      <c r="H16" s="409"/>
      <c r="I16" s="406"/>
      <c r="J16" s="404"/>
      <c r="K16" s="404"/>
      <c r="L16" s="404"/>
      <c r="M16" s="406"/>
      <c r="N16" s="407"/>
      <c r="O16" s="333"/>
      <c r="P16" s="406"/>
    </row>
    <row r="17" spans="1:16" ht="15.75" customHeight="1">
      <c r="A17" s="298" t="s">
        <v>833</v>
      </c>
      <c r="B17" s="404">
        <f>+'OLD...Tabs'!B51+'OLD...Tabs'!C51</f>
        <v>86.94212137009508</v>
      </c>
      <c r="C17" s="404">
        <f>+'OLD...Tabs'!B82+'OLD...Tabs'!C82</f>
        <v>71.765549940732413</v>
      </c>
      <c r="D17" s="404">
        <f>+'OLD...Tabs'!B112+'OLD...Tabs'!C112</f>
        <v>0</v>
      </c>
      <c r="E17" s="404">
        <f>+'OLD...Tabs'!B143+'OLD...Tabs'!C143</f>
        <v>76.455997803496714</v>
      </c>
      <c r="F17" s="404">
        <f>+'OLD...Tabs'!B174+'OLD...Tabs'!C174</f>
        <v>48.543284080474159</v>
      </c>
      <c r="G17" s="404">
        <f>+'OLD...Tabs'!B204+'OLD...Tabs'!C204</f>
        <v>0</v>
      </c>
      <c r="H17" s="409">
        <f>+'OLD...Tabs'!B19+'OLD...Tabs'!C19</f>
        <v>82.924094254320025</v>
      </c>
      <c r="I17" s="406">
        <f>+'OLD...Tabs'!B266+'OLD...Tabs'!C266</f>
        <v>0</v>
      </c>
      <c r="J17" s="404">
        <f>+'OLD...Tabs'!B297+'OLD...Tabs'!C297</f>
        <v>72.567309086775708</v>
      </c>
      <c r="K17" s="404">
        <f>+'OLD...Tabs'!B328+'OLD...Tabs'!C328</f>
        <v>75.368278474021267</v>
      </c>
      <c r="L17" s="404">
        <f>+'OLD...Tabs'!B359+'OLD...Tabs'!C359</f>
        <v>81.362805195789562</v>
      </c>
      <c r="M17" s="406">
        <f>+'OLD...Tabs'!B235+'OLD...Tabs'!C235</f>
        <v>74.188454449605686</v>
      </c>
      <c r="N17" s="407">
        <f>+'OLD...Tabs'!B420+'OLD...Tabs'!C420</f>
        <v>0</v>
      </c>
      <c r="O17" s="333">
        <f>+'OLD...Tabs'!B450+'OLD...Tabs'!C450</f>
        <v>0</v>
      </c>
      <c r="P17" s="406">
        <f>+'OLD...Tabs'!B390+'OLD...Tabs'!C390</f>
        <v>0</v>
      </c>
    </row>
    <row r="18" spans="1:16" ht="15.75" customHeight="1">
      <c r="A18" s="298" t="s">
        <v>834</v>
      </c>
      <c r="B18" s="404">
        <f>+'OLD...Tabs'!B52+'OLD...Tabs'!C52</f>
        <v>86.544931189564636</v>
      </c>
      <c r="C18" s="404">
        <f>+'OLD...Tabs'!B83+'OLD...Tabs'!C83</f>
        <v>79.958624744352164</v>
      </c>
      <c r="D18" s="404">
        <f>+'OLD...Tabs'!B113+'OLD...Tabs'!C113</f>
        <v>85.010303817491817</v>
      </c>
      <c r="E18" s="404">
        <f>+'OLD...Tabs'!B144+'OLD...Tabs'!C144</f>
        <v>66.707973075731545</v>
      </c>
      <c r="F18" s="404">
        <f>+'OLD...Tabs'!B175+'OLD...Tabs'!C175</f>
        <v>76.398818886378592</v>
      </c>
      <c r="G18" s="404">
        <f>+'OLD...Tabs'!B205+'OLD...Tabs'!C205</f>
        <v>93.672756870220823</v>
      </c>
      <c r="H18" s="409">
        <f>+'OLD...Tabs'!B20+'OLD...Tabs'!C20</f>
        <v>84.346197611567177</v>
      </c>
      <c r="I18" s="406">
        <f>+'OLD...Tabs'!B267+'OLD...Tabs'!C267</f>
        <v>0</v>
      </c>
      <c r="J18" s="404">
        <f>+'OLD...Tabs'!B298+'OLD...Tabs'!C298</f>
        <v>58.446845478587889</v>
      </c>
      <c r="K18" s="404">
        <f>+'OLD...Tabs'!B329+'OLD...Tabs'!C329</f>
        <v>51.32640915940032</v>
      </c>
      <c r="L18" s="404">
        <f>+'OLD...Tabs'!B360+'OLD...Tabs'!C360</f>
        <v>50.114041680661671</v>
      </c>
      <c r="M18" s="406">
        <f>+'OLD...Tabs'!B236+'OLD...Tabs'!C236</f>
        <v>54.452537002602121</v>
      </c>
      <c r="N18" s="407">
        <f>+'OLD...Tabs'!B421+'OLD...Tabs'!C421</f>
        <v>0</v>
      </c>
      <c r="O18" s="333">
        <f>+'OLD...Tabs'!B451+'OLD...Tabs'!C451</f>
        <v>0</v>
      </c>
      <c r="P18" s="406">
        <f>+'OLD...Tabs'!B391+'OLD...Tabs'!C391</f>
        <v>0</v>
      </c>
    </row>
    <row r="19" spans="1:16" ht="15.75" customHeight="1">
      <c r="A19" s="298" t="s">
        <v>835</v>
      </c>
      <c r="B19" s="404">
        <f>+'OLD...Tabs'!B53+'OLD...Tabs'!C53</f>
        <v>86.554053772100772</v>
      </c>
      <c r="C19" s="404">
        <f>+'OLD...Tabs'!B84+'OLD...Tabs'!C84</f>
        <v>0</v>
      </c>
      <c r="D19" s="404">
        <f>+'OLD...Tabs'!B114+'OLD...Tabs'!C114</f>
        <v>76.055023854549646</v>
      </c>
      <c r="E19" s="404">
        <f>+'OLD...Tabs'!B145+'OLD...Tabs'!C145</f>
        <v>71.347215326655189</v>
      </c>
      <c r="F19" s="404">
        <f>+'OLD...Tabs'!B176+'OLD...Tabs'!C176</f>
        <v>76.026053734117951</v>
      </c>
      <c r="G19" s="404">
        <f>+'OLD...Tabs'!B206+'OLD...Tabs'!C206</f>
        <v>77.024894621176642</v>
      </c>
      <c r="H19" s="409">
        <f>+'OLD...Tabs'!B21+'OLD...Tabs'!C21</f>
        <v>81.037740133713825</v>
      </c>
      <c r="I19" s="406">
        <f>+'OLD...Tabs'!B268+'OLD...Tabs'!C268</f>
        <v>64.908159428004907</v>
      </c>
      <c r="J19" s="404">
        <f>+'OLD...Tabs'!B299+'OLD...Tabs'!C299</f>
        <v>70.748703263853429</v>
      </c>
      <c r="K19" s="404">
        <f>+'OLD...Tabs'!B330+'OLD...Tabs'!C330</f>
        <v>70.095745278250945</v>
      </c>
      <c r="L19" s="404">
        <f>+'OLD...Tabs'!B361+'OLD...Tabs'!C361</f>
        <v>69.360679647959302</v>
      </c>
      <c r="M19" s="406">
        <f>+'OLD...Tabs'!B237+'OLD...Tabs'!C237</f>
        <v>69.357352749297007</v>
      </c>
      <c r="N19" s="407">
        <f>+'OLD...Tabs'!B422+'OLD...Tabs'!C422</f>
        <v>0</v>
      </c>
      <c r="O19" s="333">
        <f>+'OLD...Tabs'!B452+'OLD...Tabs'!C452</f>
        <v>0</v>
      </c>
      <c r="P19" s="406">
        <f>+'OLD...Tabs'!B392+'OLD...Tabs'!C392</f>
        <v>0</v>
      </c>
    </row>
    <row r="20" spans="1:16" ht="15.75" customHeight="1">
      <c r="A20" s="298" t="s">
        <v>836</v>
      </c>
      <c r="B20" s="404">
        <f>+'OLD...Tabs'!B54+'OLD...Tabs'!C54</f>
        <v>91.08481085050046</v>
      </c>
      <c r="C20" s="404">
        <f>+'OLD...Tabs'!B85+'OLD...Tabs'!C85</f>
        <v>0</v>
      </c>
      <c r="D20" s="404">
        <f>+'OLD...Tabs'!B115+'OLD...Tabs'!C115</f>
        <v>93.085775641001987</v>
      </c>
      <c r="E20" s="404">
        <f>+'OLD...Tabs'!B146+'OLD...Tabs'!C146</f>
        <v>85.041142278982861</v>
      </c>
      <c r="F20" s="404">
        <f>+'OLD...Tabs'!B177+'OLD...Tabs'!C177</f>
        <v>94.139329155915959</v>
      </c>
      <c r="G20" s="404">
        <f>+'OLD...Tabs'!B207+'OLD...Tabs'!C207</f>
        <v>85.367615730878242</v>
      </c>
      <c r="H20" s="409">
        <f>+'OLD...Tabs'!B22+'OLD...Tabs'!C22</f>
        <v>90.236706487660484</v>
      </c>
      <c r="I20" s="406">
        <f>+'OLD...Tabs'!B269+'OLD...Tabs'!C269</f>
        <v>0</v>
      </c>
      <c r="J20" s="404">
        <f>+'OLD...Tabs'!B300+'OLD...Tabs'!C300</f>
        <v>67.712117273541253</v>
      </c>
      <c r="K20" s="404">
        <f>+'OLD...Tabs'!B331+'OLD...Tabs'!C331</f>
        <v>64.436985203235935</v>
      </c>
      <c r="L20" s="404">
        <f>+'OLD...Tabs'!B362+'OLD...Tabs'!C362</f>
        <v>78.466375522179717</v>
      </c>
      <c r="M20" s="406">
        <f>+'OLD...Tabs'!B238+'OLD...Tabs'!C238</f>
        <v>68.328757587585599</v>
      </c>
      <c r="N20" s="407">
        <f>+'OLD...Tabs'!B423+'OLD...Tabs'!C423</f>
        <v>0</v>
      </c>
      <c r="O20" s="333">
        <f>+'OLD...Tabs'!B453+'OLD...Tabs'!C453</f>
        <v>0</v>
      </c>
      <c r="P20" s="406">
        <f>+'OLD...Tabs'!B393+'OLD...Tabs'!C393</f>
        <v>0</v>
      </c>
    </row>
    <row r="21" spans="1:16" ht="15.75" customHeight="1">
      <c r="A21" s="298"/>
      <c r="B21" s="404"/>
      <c r="C21" s="404"/>
      <c r="D21" s="404"/>
      <c r="E21" s="404"/>
      <c r="F21" s="404"/>
      <c r="G21" s="404"/>
      <c r="H21" s="409"/>
      <c r="I21" s="406"/>
      <c r="J21" s="404"/>
      <c r="K21" s="404"/>
      <c r="L21" s="404"/>
      <c r="M21" s="406"/>
      <c r="N21" s="407"/>
      <c r="O21" s="333"/>
      <c r="P21" s="406"/>
    </row>
    <row r="22" spans="1:16" ht="15.75" customHeight="1">
      <c r="A22" s="298" t="s">
        <v>837</v>
      </c>
      <c r="B22" s="404">
        <f>+'OLD...Tabs'!B56+'OLD...Tabs'!C56</f>
        <v>85.733926123293088</v>
      </c>
      <c r="C22" s="404">
        <f>+'OLD...Tabs'!B87+'OLD...Tabs'!C87</f>
        <v>79.36360658763212</v>
      </c>
      <c r="D22" s="404">
        <f>+'OLD...Tabs'!B117+'OLD...Tabs'!C117</f>
        <v>71.352968067366589</v>
      </c>
      <c r="E22" s="404">
        <f>+'OLD...Tabs'!B148+'OLD...Tabs'!C148</f>
        <v>0</v>
      </c>
      <c r="F22" s="404">
        <f>+'OLD...Tabs'!B179+'OLD...Tabs'!C179</f>
        <v>84.7608102109443</v>
      </c>
      <c r="G22" s="404">
        <f>+'OLD...Tabs'!B209+'OLD...Tabs'!C209</f>
        <v>0</v>
      </c>
      <c r="H22" s="409">
        <f>+'OLD...Tabs'!B24+'OLD...Tabs'!C24</f>
        <v>79.803443696769961</v>
      </c>
      <c r="I22" s="406">
        <f>+'OLD...Tabs'!B271+'OLD...Tabs'!C271</f>
        <v>0</v>
      </c>
      <c r="J22" s="404">
        <f>+'OLD...Tabs'!B302+'OLD...Tabs'!C302</f>
        <v>73.87248420743353</v>
      </c>
      <c r="K22" s="404">
        <f>+'OLD...Tabs'!B333+'OLD...Tabs'!C333</f>
        <v>72.399884525150341</v>
      </c>
      <c r="L22" s="404">
        <f>+'OLD...Tabs'!B364+'OLD...Tabs'!C364</f>
        <v>72.291745419095548</v>
      </c>
      <c r="M22" s="406">
        <f>+'OLD...Tabs'!B240+'OLD...Tabs'!C240</f>
        <v>73.169830696006102</v>
      </c>
      <c r="N22" s="407">
        <f>+'OLD...Tabs'!B425+'OLD...Tabs'!C425</f>
        <v>0</v>
      </c>
      <c r="O22" s="333">
        <f>+'OLD...Tabs'!B455+'OLD...Tabs'!C455</f>
        <v>0</v>
      </c>
      <c r="P22" s="406">
        <f>+'OLD...Tabs'!B395+'OLD...Tabs'!C395</f>
        <v>0</v>
      </c>
    </row>
    <row r="23" spans="1:16" ht="15.75" customHeight="1">
      <c r="A23" s="298" t="s">
        <v>838</v>
      </c>
      <c r="B23" s="404">
        <f>+'OLD...Tabs'!B57+'OLD...Tabs'!C57</f>
        <v>83.794637920404725</v>
      </c>
      <c r="C23" s="404">
        <f>+'OLD...Tabs'!B88+'OLD...Tabs'!C88</f>
        <v>85.890558665468333</v>
      </c>
      <c r="D23" s="404">
        <f>+'OLD...Tabs'!B118+'OLD...Tabs'!C118</f>
        <v>77.569778002802451</v>
      </c>
      <c r="E23" s="404">
        <f>+'OLD...Tabs'!B149+'OLD...Tabs'!C149</f>
        <v>48.365912334899186</v>
      </c>
      <c r="F23" s="404">
        <f>+'OLD...Tabs'!B180+'OLD...Tabs'!C180</f>
        <v>62.654299587788891</v>
      </c>
      <c r="G23" s="404">
        <f>+'OLD...Tabs'!B210+'OLD...Tabs'!C210</f>
        <v>0</v>
      </c>
      <c r="H23" s="409">
        <f>+'OLD...Tabs'!B25+'OLD...Tabs'!C25</f>
        <v>80.996943644689551</v>
      </c>
      <c r="I23" s="406">
        <f>+'OLD...Tabs'!B272+'OLD...Tabs'!C272</f>
        <v>75.460314827491018</v>
      </c>
      <c r="J23" s="404">
        <f>+'OLD...Tabs'!B303+'OLD...Tabs'!C303</f>
        <v>72.540759450409539</v>
      </c>
      <c r="K23" s="404">
        <f>+'OLD...Tabs'!B334+'OLD...Tabs'!C334</f>
        <v>71.315115162985052</v>
      </c>
      <c r="L23" s="404">
        <f>+'OLD...Tabs'!B365+'OLD...Tabs'!C365</f>
        <v>63.496304979944604</v>
      </c>
      <c r="M23" s="406">
        <f>+'OLD...Tabs'!B241+'OLD...Tabs'!C241</f>
        <v>72.162621199734602</v>
      </c>
      <c r="N23" s="407">
        <f>+'OLD...Tabs'!B426+'OLD...Tabs'!C426</f>
        <v>0</v>
      </c>
      <c r="O23" s="333">
        <f>+'OLD...Tabs'!B456+'OLD...Tabs'!C456</f>
        <v>0</v>
      </c>
      <c r="P23" s="406">
        <f>+'OLD...Tabs'!B396+'OLD...Tabs'!C396</f>
        <v>0</v>
      </c>
    </row>
    <row r="24" spans="1:16" ht="15.75" customHeight="1">
      <c r="A24" s="298" t="s">
        <v>839</v>
      </c>
      <c r="B24" s="404">
        <f>+'OLD...Tabs'!B58+'OLD...Tabs'!C58</f>
        <v>90.492975195105501</v>
      </c>
      <c r="C24" s="404">
        <f>+'OLD...Tabs'!B89+'OLD...Tabs'!C89</f>
        <v>99.650864392190314</v>
      </c>
      <c r="D24" s="404">
        <f>+'OLD...Tabs'!B119+'OLD...Tabs'!C119</f>
        <v>91.516391479486458</v>
      </c>
      <c r="E24" s="404">
        <f>+'OLD...Tabs'!B150+'OLD...Tabs'!C150</f>
        <v>0</v>
      </c>
      <c r="F24" s="404">
        <f>+'OLD...Tabs'!B181+'OLD...Tabs'!C181</f>
        <v>99.999999999999986</v>
      </c>
      <c r="G24" s="404">
        <f>+'OLD...Tabs'!B211+'OLD...Tabs'!C211</f>
        <v>77.384827240861284</v>
      </c>
      <c r="H24" s="409">
        <f>+'OLD...Tabs'!B26+'OLD...Tabs'!C26</f>
        <v>91.273230766982351</v>
      </c>
      <c r="I24" s="406">
        <f>+'OLD...Tabs'!B273+'OLD...Tabs'!C273</f>
        <v>0</v>
      </c>
      <c r="J24" s="404">
        <f>+'OLD...Tabs'!B304+'OLD...Tabs'!C304</f>
        <v>72.114313154508679</v>
      </c>
      <c r="K24" s="404">
        <f>+'OLD...Tabs'!B335+'OLD...Tabs'!C335</f>
        <v>68.455859122996586</v>
      </c>
      <c r="L24" s="404">
        <f>+'OLD...Tabs'!B366+'OLD...Tabs'!C366</f>
        <v>63.980592881685922</v>
      </c>
      <c r="M24" s="406">
        <f>+'OLD...Tabs'!B242+'OLD...Tabs'!C242</f>
        <v>70.079157530909313</v>
      </c>
      <c r="N24" s="407">
        <f>+'OLD...Tabs'!B427+'OLD...Tabs'!C427</f>
        <v>0</v>
      </c>
      <c r="O24" s="333">
        <f>+'OLD...Tabs'!B457+'OLD...Tabs'!C457</f>
        <v>0</v>
      </c>
      <c r="P24" s="406">
        <f>+'OLD...Tabs'!B397+'OLD...Tabs'!C397</f>
        <v>0</v>
      </c>
    </row>
    <row r="25" spans="1:16" ht="15.75" customHeight="1">
      <c r="A25" s="304" t="s">
        <v>840</v>
      </c>
      <c r="B25" s="410">
        <f>+'OLD...Tabs'!B59+'OLD...Tabs'!C59</f>
        <v>88.461367526868855</v>
      </c>
      <c r="C25" s="410">
        <f>+'OLD...Tabs'!B90+'OLD...Tabs'!C90</f>
        <v>0</v>
      </c>
      <c r="D25" s="410">
        <f>+'OLD...Tabs'!B120+'OLD...Tabs'!C120</f>
        <v>83.259485437041803</v>
      </c>
      <c r="E25" s="410">
        <f>+'OLD...Tabs'!B151+'OLD...Tabs'!C151</f>
        <v>0</v>
      </c>
      <c r="F25" s="410">
        <f>+'OLD...Tabs'!B182+'OLD...Tabs'!C182</f>
        <v>86.780231114381252</v>
      </c>
      <c r="G25" s="410">
        <f>+'OLD...Tabs'!B212+'OLD...Tabs'!C212</f>
        <v>74.399313339620193</v>
      </c>
      <c r="H25" s="411">
        <f>+'OLD...Tabs'!B27+'OLD...Tabs'!C27</f>
        <v>85.33570398653859</v>
      </c>
      <c r="I25" s="412">
        <f>+'OLD...Tabs'!B274+'OLD...Tabs'!C274</f>
        <v>74.723465894126932</v>
      </c>
      <c r="J25" s="410">
        <f>+'OLD...Tabs'!B305+'OLD...Tabs'!C305</f>
        <v>0</v>
      </c>
      <c r="K25" s="410">
        <f>+'OLD...Tabs'!B336+'OLD...Tabs'!C336</f>
        <v>0</v>
      </c>
      <c r="L25" s="413">
        <f>+'OLD...Tabs'!B367+'OLD...Tabs'!C367</f>
        <v>72.174156593378441</v>
      </c>
      <c r="M25" s="412">
        <f>+'OLD...Tabs'!B243+'OLD...Tabs'!C243</f>
        <v>72.779298721799222</v>
      </c>
      <c r="N25" s="414">
        <f>+'OLD...Tabs'!B428+'OLD...Tabs'!C428</f>
        <v>0</v>
      </c>
      <c r="O25" s="343">
        <f>+'OLD...Tabs'!B458+'OLD...Tabs'!C458</f>
        <v>0</v>
      </c>
      <c r="P25" s="412">
        <f>+'OLD...Tabs'!B398+'OLD...Tabs'!C398</f>
        <v>0</v>
      </c>
    </row>
    <row r="26" spans="1:16" s="345" customFormat="1" ht="24" customHeight="1">
      <c r="A26" s="458" t="s">
        <v>910</v>
      </c>
      <c r="B26" s="458"/>
      <c r="C26" s="458"/>
      <c r="D26" s="458"/>
      <c r="E26" s="458"/>
      <c r="F26" s="458"/>
      <c r="G26" s="458"/>
      <c r="H26" s="458"/>
      <c r="I26" s="458"/>
      <c r="J26" s="458"/>
      <c r="K26" s="458"/>
      <c r="L26" s="458"/>
      <c r="M26" s="458"/>
      <c r="N26" s="458"/>
      <c r="O26" s="458"/>
      <c r="P26" s="458"/>
    </row>
    <row r="27" spans="1:16" s="345" customFormat="1" ht="11.25">
      <c r="M27" s="415"/>
      <c r="P27" s="351" t="s">
        <v>980</v>
      </c>
    </row>
    <row r="28" spans="1:16" ht="18">
      <c r="A28" s="447" t="s">
        <v>911</v>
      </c>
      <c r="B28" s="447"/>
      <c r="C28" s="447"/>
      <c r="D28" s="447"/>
      <c r="E28" s="447"/>
      <c r="F28" s="447"/>
      <c r="G28" s="447"/>
      <c r="H28" s="447"/>
      <c r="I28" s="447"/>
      <c r="J28" s="447"/>
      <c r="K28" s="447"/>
      <c r="L28" s="447"/>
      <c r="M28" s="447"/>
      <c r="N28" s="447"/>
      <c r="O28" s="447"/>
      <c r="P28" s="447"/>
    </row>
    <row r="29" spans="1:16" s="298" customFormat="1" ht="12.75">
      <c r="A29" s="299"/>
      <c r="B29" s="295"/>
      <c r="C29" s="295"/>
      <c r="D29" s="295"/>
      <c r="E29" s="295"/>
      <c r="F29" s="295"/>
      <c r="G29" s="295"/>
      <c r="H29" s="295"/>
      <c r="I29" s="295"/>
      <c r="J29" s="295"/>
      <c r="K29" s="295"/>
      <c r="L29" s="295"/>
      <c r="M29" s="295"/>
    </row>
    <row r="30" spans="1:16" ht="15.75">
      <c r="A30" s="462" t="s">
        <v>927</v>
      </c>
      <c r="B30" s="462"/>
      <c r="C30" s="462"/>
      <c r="D30" s="462"/>
      <c r="E30" s="462"/>
      <c r="F30" s="462"/>
      <c r="G30" s="462"/>
      <c r="H30" s="462"/>
      <c r="I30" s="462"/>
      <c r="J30" s="462"/>
      <c r="K30" s="462"/>
      <c r="L30" s="462"/>
      <c r="M30" s="462"/>
      <c r="N30" s="462"/>
      <c r="O30" s="462"/>
      <c r="P30" s="462"/>
    </row>
    <row r="31" spans="1:16" s="298" customFormat="1" ht="9.75" customHeight="1">
      <c r="A31" s="417"/>
      <c r="B31" s="295"/>
      <c r="C31" s="295"/>
      <c r="D31" s="295"/>
      <c r="E31" s="295"/>
      <c r="F31" s="295"/>
      <c r="G31" s="295"/>
      <c r="H31" s="295"/>
      <c r="I31" s="295"/>
      <c r="J31" s="295"/>
      <c r="K31" s="295"/>
      <c r="L31" s="295"/>
      <c r="M31" s="295"/>
    </row>
    <row r="32" spans="1:16" s="399" customFormat="1" ht="18" customHeight="1">
      <c r="A32" s="394"/>
      <c r="B32" s="398" t="s">
        <v>724</v>
      </c>
      <c r="C32" s="398"/>
      <c r="D32" s="398"/>
      <c r="E32" s="398"/>
      <c r="F32" s="398"/>
      <c r="G32" s="398"/>
      <c r="H32" s="418"/>
      <c r="I32" s="397" t="s">
        <v>727</v>
      </c>
      <c r="J32" s="398"/>
      <c r="K32" s="398"/>
      <c r="L32" s="398"/>
      <c r="M32" s="398"/>
      <c r="N32" s="397" t="s">
        <v>743</v>
      </c>
      <c r="O32" s="398"/>
      <c r="P32" s="398"/>
    </row>
    <row r="33" spans="1:16" s="403" customFormat="1" ht="26.25" customHeight="1">
      <c r="A33" s="400"/>
      <c r="B33" s="395">
        <v>1</v>
      </c>
      <c r="C33" s="395">
        <v>2</v>
      </c>
      <c r="D33" s="395">
        <v>3</v>
      </c>
      <c r="E33" s="395">
        <v>4</v>
      </c>
      <c r="F33" s="395">
        <v>5</v>
      </c>
      <c r="G33" s="395">
        <v>6</v>
      </c>
      <c r="H33" s="401" t="s">
        <v>907</v>
      </c>
      <c r="I33" s="402" t="s">
        <v>908</v>
      </c>
      <c r="J33" s="395">
        <v>1</v>
      </c>
      <c r="K33" s="395">
        <v>2</v>
      </c>
      <c r="L33" s="395">
        <v>3</v>
      </c>
      <c r="M33" s="396" t="s">
        <v>909</v>
      </c>
      <c r="N33" s="396">
        <v>1</v>
      </c>
      <c r="O33" s="395">
        <v>2</v>
      </c>
      <c r="P33" s="396" t="s">
        <v>909</v>
      </c>
    </row>
    <row r="34" spans="1:16" ht="15.75" customHeight="1">
      <c r="A34" s="298" t="s">
        <v>825</v>
      </c>
      <c r="B34" s="404">
        <f>+'OLD...Tabs'!D41</f>
        <v>11.538493611325954</v>
      </c>
      <c r="C34" s="404">
        <f>+'OLD...Tabs'!D72</f>
        <v>10.363863472060025</v>
      </c>
      <c r="D34" s="404">
        <f>+'OLD...Tabs'!D102</f>
        <v>20.964012662332973</v>
      </c>
      <c r="E34" s="404">
        <f>+'OLD...Tabs'!D133</f>
        <v>17.128154564492863</v>
      </c>
      <c r="F34" s="404">
        <f>+'OLD...Tabs'!D164</f>
        <v>10.159838774161438</v>
      </c>
      <c r="G34" s="404">
        <f>+'OLD...Tabs'!D194</f>
        <v>77.111094531075125</v>
      </c>
      <c r="H34" s="408">
        <f>+'OLD...Tabs'!D9</f>
        <v>14.896151788762639</v>
      </c>
      <c r="I34" s="408">
        <f>+'OLD...Tabs'!D256</f>
        <v>0</v>
      </c>
      <c r="J34" s="404">
        <f>+'OLD...Tabs'!D287</f>
        <v>32.563101828415277</v>
      </c>
      <c r="K34" s="404">
        <f>+'OLD...Tabs'!D318</f>
        <v>19.493672809194585</v>
      </c>
      <c r="L34" s="404">
        <f>+'OLD...Tabs'!D349</f>
        <v>28.837713530982811</v>
      </c>
      <c r="M34" s="406">
        <f>+'OLD...Tabs'!D225</f>
        <v>24.3980448066172</v>
      </c>
      <c r="N34" s="407">
        <f>+'OLD...Tabs'!D410</f>
        <v>8.2436830728713755</v>
      </c>
      <c r="O34" s="333">
        <f>+'OLD...Tabs'!D440</f>
        <v>9.8927240899501783</v>
      </c>
      <c r="P34" s="406">
        <f>+'OLD...Tabs'!D380</f>
        <v>9.1100970438760953</v>
      </c>
    </row>
    <row r="35" spans="1:16" ht="15.75" customHeight="1">
      <c r="A35" s="298" t="s">
        <v>826</v>
      </c>
      <c r="B35" s="404">
        <f>+'OLD...Tabs'!D42</f>
        <v>8.6561428056301217</v>
      </c>
      <c r="C35" s="404">
        <f>+'OLD...Tabs'!D73</f>
        <v>35.028051001821495</v>
      </c>
      <c r="D35" s="404">
        <f>+'OLD...Tabs'!D103</f>
        <v>21.65707773613509</v>
      </c>
      <c r="E35" s="404">
        <f>+'OLD...Tabs'!D134</f>
        <v>18.39051505533444</v>
      </c>
      <c r="F35" s="404">
        <f>+'OLD...Tabs'!D165</f>
        <v>23.697367709853523</v>
      </c>
      <c r="G35" s="404">
        <f>+'OLD...Tabs'!D195</f>
        <v>22.148047523556937</v>
      </c>
      <c r="H35" s="406">
        <f>+'OLD...Tabs'!D10</f>
        <v>18.886067723092502</v>
      </c>
      <c r="I35" s="406">
        <f>+'OLD...Tabs'!D257</f>
        <v>0</v>
      </c>
      <c r="J35" s="404">
        <f>+'OLD...Tabs'!D288</f>
        <v>27.937931999813369</v>
      </c>
      <c r="K35" s="404">
        <f>+'OLD...Tabs'!D319</f>
        <v>30.42503430813538</v>
      </c>
      <c r="L35" s="404">
        <f>+'OLD...Tabs'!D350</f>
        <v>25.913227021622554</v>
      </c>
      <c r="M35" s="406">
        <f>+'OLD...Tabs'!D226</f>
        <v>27.21435338179058</v>
      </c>
      <c r="N35" s="407">
        <f>+'OLD...Tabs'!D411</f>
        <v>0</v>
      </c>
      <c r="O35" s="333">
        <f>+'OLD...Tabs'!D441</f>
        <v>0</v>
      </c>
      <c r="P35" s="406">
        <f>+'OLD...Tabs'!D381</f>
        <v>0</v>
      </c>
    </row>
    <row r="36" spans="1:16" ht="15.75" customHeight="1">
      <c r="A36" s="298" t="s">
        <v>827</v>
      </c>
      <c r="B36" s="404">
        <f>+'OLD...Tabs'!D43</f>
        <v>3.6009248950929176</v>
      </c>
      <c r="C36" s="404">
        <f>+'OLD...Tabs'!D74</f>
        <v>0</v>
      </c>
      <c r="D36" s="404">
        <f>+'OLD...Tabs'!D104</f>
        <v>5.4761750300042173</v>
      </c>
      <c r="E36" s="404">
        <f>+'OLD...Tabs'!D135</f>
        <v>0</v>
      </c>
      <c r="F36" s="404">
        <f>+'OLD...Tabs'!D166</f>
        <v>0</v>
      </c>
      <c r="G36" s="404">
        <f>+'OLD...Tabs'!D196</f>
        <v>0</v>
      </c>
      <c r="H36" s="406">
        <f>+'OLD...Tabs'!D11</f>
        <v>3.9279320555569694</v>
      </c>
      <c r="I36" s="406">
        <f>+'OLD...Tabs'!D258</f>
        <v>0</v>
      </c>
      <c r="J36" s="404">
        <f>+'OLD...Tabs'!D289</f>
        <v>0</v>
      </c>
      <c r="K36" s="404">
        <f>+'OLD...Tabs'!D320</f>
        <v>16.543580089366436</v>
      </c>
      <c r="L36" s="404">
        <f>+'OLD...Tabs'!D351</f>
        <v>0</v>
      </c>
      <c r="M36" s="406">
        <f>+'OLD...Tabs'!D227</f>
        <v>16.543580089366436</v>
      </c>
      <c r="N36" s="407">
        <f>+'OLD...Tabs'!D412</f>
        <v>0</v>
      </c>
      <c r="O36" s="333">
        <f>+'OLD...Tabs'!D442</f>
        <v>0</v>
      </c>
      <c r="P36" s="406">
        <f>+'OLD...Tabs'!D382</f>
        <v>0</v>
      </c>
    </row>
    <row r="37" spans="1:16" ht="15.75" customHeight="1">
      <c r="A37" s="298" t="s">
        <v>865</v>
      </c>
      <c r="B37" s="404">
        <f>+'OLD...Tabs'!D44</f>
        <v>0</v>
      </c>
      <c r="C37" s="404">
        <f>+'OLD...Tabs'!D75</f>
        <v>0</v>
      </c>
      <c r="D37" s="404">
        <f>+'OLD...Tabs'!D105</f>
        <v>0</v>
      </c>
      <c r="E37" s="404">
        <f>+'OLD...Tabs'!D136</f>
        <v>0</v>
      </c>
      <c r="F37" s="404">
        <f>+'OLD...Tabs'!D167</f>
        <v>0</v>
      </c>
      <c r="G37" s="404">
        <f>+'OLD...Tabs'!D197</f>
        <v>0</v>
      </c>
      <c r="H37" s="406">
        <f>+'OLD...Tabs'!D12</f>
        <v>0</v>
      </c>
      <c r="I37" s="406">
        <f>+'OLD...Tabs'!D259</f>
        <v>26.310229015515279</v>
      </c>
      <c r="J37" s="404">
        <f>+'OLD...Tabs'!D290</f>
        <v>26.128938712068909</v>
      </c>
      <c r="K37" s="404">
        <f>+'OLD...Tabs'!D321</f>
        <v>0</v>
      </c>
      <c r="L37" s="404">
        <f>+'OLD...Tabs'!D352</f>
        <v>29.004728132387708</v>
      </c>
      <c r="M37" s="406">
        <f>+'OLD...Tabs'!D228</f>
        <v>26.306326309729574</v>
      </c>
      <c r="N37" s="407">
        <f>+'OLD...Tabs'!D413</f>
        <v>0</v>
      </c>
      <c r="O37" s="333">
        <f>+'OLD...Tabs'!D443</f>
        <v>0</v>
      </c>
      <c r="P37" s="406">
        <f>+'OLD...Tabs'!D383</f>
        <v>0</v>
      </c>
    </row>
    <row r="38" spans="1:16" ht="15.75" customHeight="1">
      <c r="B38" s="298"/>
      <c r="C38" s="298"/>
      <c r="D38" s="298"/>
      <c r="E38" s="298"/>
      <c r="F38" s="298"/>
      <c r="G38" s="298"/>
      <c r="H38" s="419"/>
      <c r="I38" s="419"/>
      <c r="J38" s="298"/>
      <c r="K38" s="298"/>
      <c r="L38" s="298"/>
      <c r="M38" s="419"/>
      <c r="N38" s="419"/>
      <c r="O38" s="298"/>
      <c r="P38" s="419"/>
    </row>
    <row r="39" spans="1:16" ht="15.75" customHeight="1">
      <c r="A39" s="298" t="s">
        <v>829</v>
      </c>
      <c r="B39" s="404">
        <f>+'OLD...Tabs'!D46</f>
        <v>12.479033123725838</v>
      </c>
      <c r="C39" s="404">
        <f>+'OLD...Tabs'!D77</f>
        <v>1.4909461150021459</v>
      </c>
      <c r="D39" s="404">
        <f>+'OLD...Tabs'!D107</f>
        <v>22.715898630399067</v>
      </c>
      <c r="E39" s="404">
        <f>+'OLD...Tabs'!D138</f>
        <v>17.599528664671155</v>
      </c>
      <c r="F39" s="404">
        <f>+'OLD...Tabs'!D169</f>
        <v>9.1902830717716579</v>
      </c>
      <c r="G39" s="404">
        <f>+'OLD...Tabs'!D199</f>
        <v>13.83081034526059</v>
      </c>
      <c r="H39" s="406">
        <f>+'OLD...Tabs'!D14</f>
        <v>15.991468887444965</v>
      </c>
      <c r="I39" s="406">
        <f>+'OLD...Tabs'!D261</f>
        <v>19.282051076100096</v>
      </c>
      <c r="J39" s="404">
        <f>+'OLD...Tabs'!D292</f>
        <v>0</v>
      </c>
      <c r="K39" s="404">
        <f>+'OLD...Tabs'!D323</f>
        <v>0</v>
      </c>
      <c r="L39" s="404">
        <f>+'OLD...Tabs'!D354</f>
        <v>35.921932906579393</v>
      </c>
      <c r="M39" s="406">
        <f>+'OLD...Tabs'!D230</f>
        <v>20.563574494584433</v>
      </c>
      <c r="N39" s="407">
        <f>+'OLD...Tabs'!D415</f>
        <v>33.919356681021604</v>
      </c>
      <c r="O39" s="333">
        <f>+'OLD...Tabs'!D445</f>
        <v>0</v>
      </c>
      <c r="P39" s="406">
        <f>+'OLD...Tabs'!D385</f>
        <v>33.919356681021604</v>
      </c>
    </row>
    <row r="40" spans="1:16" ht="15.75" customHeight="1">
      <c r="A40" s="298" t="s">
        <v>830</v>
      </c>
      <c r="B40" s="404">
        <f>+'OLD...Tabs'!D47</f>
        <v>9.3714033455783827</v>
      </c>
      <c r="C40" s="404">
        <f>+'OLD...Tabs'!D78</f>
        <v>0</v>
      </c>
      <c r="D40" s="404">
        <f>+'OLD...Tabs'!D108</f>
        <v>19.614625682016076</v>
      </c>
      <c r="E40" s="404">
        <f>+'OLD...Tabs'!D139</f>
        <v>30.628141841402112</v>
      </c>
      <c r="F40" s="404">
        <f>+'OLD...Tabs'!D170</f>
        <v>0</v>
      </c>
      <c r="G40" s="404">
        <f>+'OLD...Tabs'!D200</f>
        <v>0</v>
      </c>
      <c r="H40" s="406">
        <f>+'OLD...Tabs'!D15</f>
        <v>15.731109894066885</v>
      </c>
      <c r="I40" s="406">
        <f>+'OLD...Tabs'!D262</f>
        <v>0</v>
      </c>
      <c r="J40" s="404">
        <f>+'OLD...Tabs'!D293</f>
        <v>33.49121542317171</v>
      </c>
      <c r="K40" s="404">
        <f>+'OLD...Tabs'!D324</f>
        <v>44.72965724864612</v>
      </c>
      <c r="L40" s="404">
        <f>+'OLD...Tabs'!D355</f>
        <v>42.32508157324007</v>
      </c>
      <c r="M40" s="406">
        <f>+'OLD...Tabs'!D231</f>
        <v>40.679386731115287</v>
      </c>
      <c r="N40" s="407">
        <f>+'OLD...Tabs'!D416</f>
        <v>31.638471452767675</v>
      </c>
      <c r="O40" s="333">
        <f>+'OLD...Tabs'!D446</f>
        <v>0</v>
      </c>
      <c r="P40" s="406">
        <f>+'OLD...Tabs'!D386</f>
        <v>31.638471452767675</v>
      </c>
    </row>
    <row r="41" spans="1:16" ht="15.75" customHeight="1">
      <c r="A41" s="298" t="s">
        <v>831</v>
      </c>
      <c r="B41" s="404">
        <f>+'OLD...Tabs'!D48</f>
        <v>3.089887640449438</v>
      </c>
      <c r="C41" s="404">
        <f>+'OLD...Tabs'!D79</f>
        <v>12.223179418569371</v>
      </c>
      <c r="D41" s="404">
        <f>+'OLD...Tabs'!D109</f>
        <v>19.63857791377503</v>
      </c>
      <c r="E41" s="404">
        <f>+'OLD...Tabs'!D140</f>
        <v>28.684856884535247</v>
      </c>
      <c r="F41" s="404">
        <f>+'OLD...Tabs'!D171</f>
        <v>12.292682926829281</v>
      </c>
      <c r="G41" s="404">
        <f>+'OLD...Tabs'!D201</f>
        <v>35.520000000000003</v>
      </c>
      <c r="H41" s="406">
        <f>+'OLD...Tabs'!D16</f>
        <v>15.67387338876825</v>
      </c>
      <c r="I41" s="406">
        <f>+'OLD...Tabs'!D263</f>
        <v>0</v>
      </c>
      <c r="J41" s="404">
        <f>+'OLD...Tabs'!D294</f>
        <v>19.879278752394612</v>
      </c>
      <c r="K41" s="404">
        <f>+'OLD...Tabs'!D325</f>
        <v>15.923257799793006</v>
      </c>
      <c r="L41" s="404">
        <f>+'OLD...Tabs'!D356</f>
        <v>28.805242899041456</v>
      </c>
      <c r="M41" s="406">
        <f>+'OLD...Tabs'!D232</f>
        <v>20.103493917738184</v>
      </c>
      <c r="N41" s="407">
        <f>+'OLD...Tabs'!D417</f>
        <v>14.950318777843735</v>
      </c>
      <c r="O41" s="333">
        <f>+'OLD...Tabs'!D447</f>
        <v>0</v>
      </c>
      <c r="P41" s="406">
        <f>+'OLD...Tabs'!D387</f>
        <v>14.950318777843735</v>
      </c>
    </row>
    <row r="42" spans="1:16" ht="15.75" customHeight="1">
      <c r="A42" s="298" t="s">
        <v>832</v>
      </c>
      <c r="B42" s="404">
        <f>+'OLD...Tabs'!D49</f>
        <v>4.2136849816849811</v>
      </c>
      <c r="C42" s="404">
        <f>+'OLD...Tabs'!D80</f>
        <v>11.253089288670713</v>
      </c>
      <c r="D42" s="404">
        <f>+'OLD...Tabs'!D110</f>
        <v>13.352168740849194</v>
      </c>
      <c r="E42" s="404">
        <f>+'OLD...Tabs'!D141</f>
        <v>14.979632133655493</v>
      </c>
      <c r="F42" s="404">
        <f>+'OLD...Tabs'!D172</f>
        <v>20.614653465346535</v>
      </c>
      <c r="G42" s="404">
        <f>+'OLD...Tabs'!D202</f>
        <v>0</v>
      </c>
      <c r="H42" s="406">
        <f>+'OLD...Tabs'!D17</f>
        <v>29.519179196301163</v>
      </c>
      <c r="I42" s="406">
        <f>+'OLD...Tabs'!D264</f>
        <v>0</v>
      </c>
      <c r="J42" s="404">
        <f>+'OLD...Tabs'!D295</f>
        <v>16.89299584438232</v>
      </c>
      <c r="K42" s="404">
        <f>+'OLD...Tabs'!D326</f>
        <v>26.376376527531562</v>
      </c>
      <c r="L42" s="404">
        <f>+'OLD...Tabs'!D357</f>
        <v>22.91613178576311</v>
      </c>
      <c r="M42" s="406">
        <f>+'OLD...Tabs'!D233</f>
        <v>19.013795826304445</v>
      </c>
      <c r="N42" s="407">
        <f>+'OLD...Tabs'!D418</f>
        <v>0</v>
      </c>
      <c r="O42" s="333">
        <f>+'OLD...Tabs'!D448</f>
        <v>0</v>
      </c>
      <c r="P42" s="406">
        <f>+'OLD...Tabs'!D388</f>
        <v>0</v>
      </c>
    </row>
    <row r="43" spans="1:16" ht="15.75" customHeight="1">
      <c r="B43" s="298"/>
      <c r="C43" s="298"/>
      <c r="D43" s="298"/>
      <c r="E43" s="298"/>
      <c r="F43" s="298"/>
      <c r="G43" s="298"/>
      <c r="H43" s="419"/>
      <c r="I43" s="419"/>
      <c r="J43" s="298"/>
      <c r="K43" s="298"/>
      <c r="L43" s="298"/>
      <c r="M43" s="419"/>
      <c r="N43" s="419"/>
      <c r="O43" s="298"/>
      <c r="P43" s="419"/>
    </row>
    <row r="44" spans="1:16" ht="15.75" customHeight="1">
      <c r="A44" s="298" t="s">
        <v>880</v>
      </c>
      <c r="B44" s="404">
        <f>+'OLD...Tabs'!D51</f>
        <v>12.872325066515511</v>
      </c>
      <c r="C44" s="404">
        <f>+'OLD...Tabs'!D82</f>
        <v>28.23445005926758</v>
      </c>
      <c r="D44" s="404">
        <f>+'OLD...Tabs'!D112</f>
        <v>0</v>
      </c>
      <c r="E44" s="404">
        <f>+'OLD...Tabs'!D143</f>
        <v>23.179624639927031</v>
      </c>
      <c r="F44" s="404">
        <f>+'OLD...Tabs'!D174</f>
        <v>51.456715919525841</v>
      </c>
      <c r="G44" s="404">
        <f>+'OLD...Tabs'!D204</f>
        <v>0</v>
      </c>
      <c r="H44" s="406">
        <f>+'OLD...Tabs'!D19</f>
        <v>16.892862500634067</v>
      </c>
      <c r="I44" s="406">
        <f>+'OLD...Tabs'!D266</f>
        <v>0</v>
      </c>
      <c r="J44" s="404">
        <f>+'OLD...Tabs'!D297</f>
        <v>27.432690913224288</v>
      </c>
      <c r="K44" s="404">
        <f>+'OLD...Tabs'!D328</f>
        <v>24.631721525978723</v>
      </c>
      <c r="L44" s="404">
        <f>+'OLD...Tabs'!D359</f>
        <v>18.637194804210448</v>
      </c>
      <c r="M44" s="406">
        <f>+'OLD...Tabs'!D235</f>
        <v>25.811545550394303</v>
      </c>
      <c r="N44" s="407">
        <f>+'OLD...Tabs'!D420</f>
        <v>0</v>
      </c>
      <c r="O44" s="333">
        <f>+'OLD...Tabs'!D450</f>
        <v>0</v>
      </c>
      <c r="P44" s="406">
        <f>+'OLD...Tabs'!D390</f>
        <v>0</v>
      </c>
    </row>
    <row r="45" spans="1:16" ht="15.75" customHeight="1">
      <c r="A45" s="298" t="s">
        <v>834</v>
      </c>
      <c r="B45" s="404">
        <f>+'OLD...Tabs'!D52</f>
        <v>13.455068810435353</v>
      </c>
      <c r="C45" s="404">
        <f>+'OLD...Tabs'!D83</f>
        <v>20.041375255647836</v>
      </c>
      <c r="D45" s="404">
        <f>+'OLD...Tabs'!D113</f>
        <v>14.989696182508181</v>
      </c>
      <c r="E45" s="404">
        <f>+'OLD...Tabs'!D144</f>
        <v>33.292026924268455</v>
      </c>
      <c r="F45" s="404">
        <f>+'OLD...Tabs'!D175</f>
        <v>23.601181113621415</v>
      </c>
      <c r="G45" s="404">
        <f>+'OLD...Tabs'!D205</f>
        <v>6.3272431297791671</v>
      </c>
      <c r="H45" s="406">
        <f>+'OLD...Tabs'!D20</f>
        <v>15.653802388432808</v>
      </c>
      <c r="I45" s="406">
        <f>+'OLD...Tabs'!D267</f>
        <v>0</v>
      </c>
      <c r="J45" s="404">
        <f>+'OLD...Tabs'!D298</f>
        <v>41.553154521412104</v>
      </c>
      <c r="K45" s="404">
        <f>+'OLD...Tabs'!D329</f>
        <v>48.67359084059968</v>
      </c>
      <c r="L45" s="404">
        <f>+'OLD...Tabs'!D360</f>
        <v>49.885958319338322</v>
      </c>
      <c r="M45" s="406">
        <f>+'OLD...Tabs'!D236</f>
        <v>45.547462997397858</v>
      </c>
      <c r="N45" s="407">
        <f>+'OLD...Tabs'!D421</f>
        <v>0</v>
      </c>
      <c r="O45" s="333">
        <f>+'OLD...Tabs'!D451</f>
        <v>0</v>
      </c>
      <c r="P45" s="406">
        <f>+'OLD...Tabs'!D391</f>
        <v>0</v>
      </c>
    </row>
    <row r="46" spans="1:16" ht="15.75" customHeight="1">
      <c r="A46" s="298" t="s">
        <v>835</v>
      </c>
      <c r="B46" s="404">
        <f>+'OLD...Tabs'!D53</f>
        <v>13.445946227899231</v>
      </c>
      <c r="C46" s="404">
        <f>+'OLD...Tabs'!D84</f>
        <v>0</v>
      </c>
      <c r="D46" s="404">
        <f>+'OLD...Tabs'!D114</f>
        <v>23.871444616167334</v>
      </c>
      <c r="E46" s="404">
        <f>+'OLD...Tabs'!D145</f>
        <v>28.652784673344819</v>
      </c>
      <c r="F46" s="404">
        <f>+'OLD...Tabs'!D176</f>
        <v>23.973946265882049</v>
      </c>
      <c r="G46" s="404">
        <f>+'OLD...Tabs'!D206</f>
        <v>22.934755196887274</v>
      </c>
      <c r="H46" s="406">
        <f>+'OLD...Tabs'!D21</f>
        <v>18.943626012181191</v>
      </c>
      <c r="I46" s="406">
        <f>+'OLD...Tabs'!D268</f>
        <v>35.091840571995093</v>
      </c>
      <c r="J46" s="404">
        <f>+'OLD...Tabs'!D299</f>
        <v>29.251296736146568</v>
      </c>
      <c r="K46" s="404">
        <f>+'OLD...Tabs'!D330</f>
        <v>29.904254721749059</v>
      </c>
      <c r="L46" s="404">
        <f>+'OLD...Tabs'!D361</f>
        <v>30.639320352040688</v>
      </c>
      <c r="M46" s="406">
        <f>+'OLD...Tabs'!D237</f>
        <v>30.642647250702979</v>
      </c>
      <c r="N46" s="407">
        <f>+'OLD...Tabs'!D422</f>
        <v>0</v>
      </c>
      <c r="O46" s="333">
        <f>+'OLD...Tabs'!D452</f>
        <v>0</v>
      </c>
      <c r="P46" s="406">
        <f>+'OLD...Tabs'!D392</f>
        <v>0</v>
      </c>
    </row>
    <row r="47" spans="1:16" s="345" customFormat="1" ht="16.5" customHeight="1">
      <c r="A47" s="298" t="s">
        <v>836</v>
      </c>
      <c r="B47" s="404">
        <f>+'OLD...Tabs'!D54</f>
        <v>8.9151891494995361</v>
      </c>
      <c r="C47" s="404">
        <f>+'OLD...Tabs'!D85</f>
        <v>0</v>
      </c>
      <c r="D47" s="404">
        <f>+'OLD...Tabs'!D115</f>
        <v>6.9142243589980108</v>
      </c>
      <c r="E47" s="404">
        <f>+'OLD...Tabs'!D146</f>
        <v>14.95885772101715</v>
      </c>
      <c r="F47" s="404">
        <f>+'OLD...Tabs'!D177</f>
        <v>5.8606708440840389</v>
      </c>
      <c r="G47" s="404">
        <f>+'OLD...Tabs'!D207</f>
        <v>14.63238426912176</v>
      </c>
      <c r="H47" s="406">
        <f>+'OLD...Tabs'!D22</f>
        <v>9.7632935123395193</v>
      </c>
      <c r="I47" s="406">
        <f>+'OLD...Tabs'!D269</f>
        <v>0</v>
      </c>
      <c r="J47" s="404">
        <f>+'OLD...Tabs'!D300</f>
        <v>32.287882726458754</v>
      </c>
      <c r="K47" s="404">
        <f>+'OLD...Tabs'!D331</f>
        <v>35.563014796764065</v>
      </c>
      <c r="L47" s="404">
        <f>+'OLD...Tabs'!D362</f>
        <v>21.533624477820283</v>
      </c>
      <c r="M47" s="406">
        <f>+'OLD...Tabs'!D238</f>
        <v>31.671242412414404</v>
      </c>
      <c r="N47" s="407">
        <f>+'OLD...Tabs'!D423</f>
        <v>0</v>
      </c>
      <c r="O47" s="333">
        <f>+'OLD...Tabs'!D453</f>
        <v>0</v>
      </c>
      <c r="P47" s="406">
        <f>+'OLD...Tabs'!D393</f>
        <v>0</v>
      </c>
    </row>
    <row r="48" spans="1:16" s="345" customFormat="1" ht="14.25" customHeight="1">
      <c r="H48" s="420"/>
      <c r="I48" s="420"/>
      <c r="M48" s="420"/>
      <c r="N48" s="420"/>
      <c r="P48" s="420"/>
    </row>
    <row r="49" spans="1:16" s="345" customFormat="1" ht="15" customHeight="1">
      <c r="A49" s="298" t="s">
        <v>837</v>
      </c>
      <c r="B49" s="404">
        <f>+'OLD...Tabs'!D56</f>
        <v>13.731052537817469</v>
      </c>
      <c r="C49" s="404">
        <f>+'OLD...Tabs'!D87</f>
        <v>20.005151340920406</v>
      </c>
      <c r="D49" s="404">
        <f>+'OLD...Tabs'!D117</f>
        <v>27.823780902757935</v>
      </c>
      <c r="E49" s="404">
        <f>+'OLD...Tabs'!D148</f>
        <v>0</v>
      </c>
      <c r="F49" s="404">
        <f>+'OLD...Tabs'!D179</f>
        <v>15.12547810594037</v>
      </c>
      <c r="G49" s="404">
        <f>+'OLD...Tabs'!D209</f>
        <v>0</v>
      </c>
      <c r="H49" s="406">
        <f>+'OLD...Tabs'!D24</f>
        <v>19.577721542302676</v>
      </c>
      <c r="I49" s="406">
        <f>+'OLD...Tabs'!D271</f>
        <v>0</v>
      </c>
      <c r="J49" s="404">
        <f>+'OLD...Tabs'!D302</f>
        <v>26.034091743793155</v>
      </c>
      <c r="K49" s="404">
        <f>+'OLD...Tabs'!D333</f>
        <v>27.423243786111303</v>
      </c>
      <c r="L49" s="404">
        <f>+'OLD...Tabs'!D364</f>
        <v>27.364065018005295</v>
      </c>
      <c r="M49" s="406">
        <f>+'OLD...Tabs'!D240</f>
        <v>26.692045592877346</v>
      </c>
      <c r="N49" s="407">
        <f>+'OLD...Tabs'!D425</f>
        <v>0</v>
      </c>
      <c r="O49" s="333">
        <f>+'OLD...Tabs'!D455</f>
        <v>0</v>
      </c>
      <c r="P49" s="406">
        <f>+'OLD...Tabs'!D395</f>
        <v>0</v>
      </c>
    </row>
    <row r="50" spans="1:16" s="345" customFormat="1" ht="12.75">
      <c r="A50" s="298" t="s">
        <v>838</v>
      </c>
      <c r="B50" s="404">
        <f>+'OLD...Tabs'!D57</f>
        <v>16.205362079595272</v>
      </c>
      <c r="C50" s="404">
        <f>+'OLD...Tabs'!D88</f>
        <v>14.10944133453167</v>
      </c>
      <c r="D50" s="404">
        <f>+'OLD...Tabs'!D118</f>
        <v>22.430221997197556</v>
      </c>
      <c r="E50" s="404">
        <f>+'OLD...Tabs'!D149</f>
        <v>51.634087665100822</v>
      </c>
      <c r="F50" s="404">
        <f>+'OLD...Tabs'!D180</f>
        <v>37.345700412211116</v>
      </c>
      <c r="G50" s="404">
        <f>+'OLD...Tabs'!D210</f>
        <v>0</v>
      </c>
      <c r="H50" s="406">
        <f>+'OLD...Tabs'!D25</f>
        <v>19.003056355310449</v>
      </c>
      <c r="I50" s="406">
        <f>+'OLD...Tabs'!D272</f>
        <v>24.539685172508978</v>
      </c>
      <c r="J50" s="404">
        <f>+'OLD...Tabs'!D303</f>
        <v>27.459240549590465</v>
      </c>
      <c r="K50" s="404">
        <f>+'OLD...Tabs'!D334</f>
        <v>28.684884837014955</v>
      </c>
      <c r="L50" s="404">
        <f>+'OLD...Tabs'!D365</f>
        <v>36.503695020055389</v>
      </c>
      <c r="M50" s="406">
        <f>+'OLD...Tabs'!D241</f>
        <v>27.837378800265402</v>
      </c>
      <c r="N50" s="407">
        <f>+'OLD...Tabs'!D426</f>
        <v>0</v>
      </c>
      <c r="O50" s="333">
        <f>+'OLD...Tabs'!D456</f>
        <v>0</v>
      </c>
      <c r="P50" s="406">
        <f>+'OLD...Tabs'!D396</f>
        <v>0</v>
      </c>
    </row>
    <row r="51" spans="1:16" s="345" customFormat="1" ht="16.5" customHeight="1">
      <c r="A51" s="298" t="s">
        <v>839</v>
      </c>
      <c r="B51" s="404">
        <f>+'OLD...Tabs'!D58</f>
        <v>9.5070248048944972</v>
      </c>
      <c r="C51" s="404">
        <f>+'OLD...Tabs'!D89</f>
        <v>0.34913560780969694</v>
      </c>
      <c r="D51" s="404">
        <f>+'OLD...Tabs'!D119</f>
        <v>8.4836085205135312</v>
      </c>
      <c r="E51" s="404">
        <f>+'OLD...Tabs'!D150</f>
        <v>0</v>
      </c>
      <c r="F51" s="404">
        <f>+'OLD...Tabs'!D181</f>
        <v>0</v>
      </c>
      <c r="G51" s="404">
        <f>+'OLD...Tabs'!D211</f>
        <v>22.615172759138709</v>
      </c>
      <c r="H51" s="406">
        <f>+'OLD...Tabs'!D26</f>
        <v>8.7267692330176594</v>
      </c>
      <c r="I51" s="406">
        <f>+'OLD...Tabs'!D273</f>
        <v>0</v>
      </c>
      <c r="J51" s="404">
        <f>+'OLD...Tabs'!D304</f>
        <v>27.885686845491318</v>
      </c>
      <c r="K51" s="404">
        <f>+'OLD...Tabs'!D335</f>
        <v>31.544140877003422</v>
      </c>
      <c r="L51" s="404">
        <f>+'OLD...Tabs'!D366</f>
        <v>36.019407118314078</v>
      </c>
      <c r="M51" s="406">
        <f>+'OLD...Tabs'!D242</f>
        <v>29.92084246909069</v>
      </c>
      <c r="N51" s="407">
        <f>+'OLD...Tabs'!D427</f>
        <v>0</v>
      </c>
      <c r="O51" s="333">
        <f>+'OLD...Tabs'!D457</f>
        <v>0</v>
      </c>
      <c r="P51" s="406">
        <f>+'OLD...Tabs'!D397</f>
        <v>0</v>
      </c>
    </row>
    <row r="52" spans="1:16" s="298" customFormat="1">
      <c r="A52" s="298" t="s">
        <v>840</v>
      </c>
      <c r="B52" s="404">
        <f>+'OLD...Tabs'!D59</f>
        <v>11.538632473131132</v>
      </c>
      <c r="C52" s="404">
        <f>+'OLD...Tabs'!D90</f>
        <v>0</v>
      </c>
      <c r="D52" s="404">
        <f>+'OLD...Tabs'!D120</f>
        <v>16.740514562958204</v>
      </c>
      <c r="E52" s="404">
        <f>+'OLD...Tabs'!D151</f>
        <v>0</v>
      </c>
      <c r="F52" s="404">
        <f>+'OLD...Tabs'!D182</f>
        <v>13.219768885618745</v>
      </c>
      <c r="G52" s="404">
        <f>+'OLD...Tabs'!D212</f>
        <v>25.600686660379807</v>
      </c>
      <c r="H52" s="406">
        <f>+'OLD...Tabs'!D27</f>
        <v>14.66429601346141</v>
      </c>
      <c r="I52" s="406">
        <f>+'OLD...Tabs'!D274</f>
        <v>25.276534105873058</v>
      </c>
      <c r="J52" s="404">
        <f>+'OLD...Tabs'!D305</f>
        <v>0</v>
      </c>
      <c r="K52" s="404">
        <f>+'OLD...Tabs'!D336</f>
        <v>0</v>
      </c>
      <c r="L52" s="404">
        <f>+'OLD...Tabs'!D367</f>
        <v>27.825843406621555</v>
      </c>
      <c r="M52" s="421">
        <f>+'OLD...Tabs'!D243</f>
        <v>27.220701278200774</v>
      </c>
      <c r="N52" s="407">
        <f>+'OLD...Tabs'!D428</f>
        <v>0</v>
      </c>
      <c r="O52" s="333">
        <f>+'OLD...Tabs'!D458</f>
        <v>0</v>
      </c>
      <c r="P52" s="406">
        <f>+'OLD...Tabs'!D398</f>
        <v>0</v>
      </c>
    </row>
    <row r="53" spans="1:16" ht="24" customHeight="1">
      <c r="A53" s="458" t="s">
        <v>910</v>
      </c>
      <c r="B53" s="458"/>
      <c r="C53" s="458"/>
      <c r="D53" s="458"/>
      <c r="E53" s="458"/>
      <c r="F53" s="458"/>
      <c r="G53" s="458"/>
      <c r="H53" s="458"/>
      <c r="I53" s="458"/>
      <c r="J53" s="458"/>
      <c r="K53" s="458"/>
      <c r="L53" s="458"/>
      <c r="M53" s="458"/>
      <c r="N53" s="458"/>
      <c r="O53" s="458"/>
      <c r="P53" s="458"/>
    </row>
    <row r="54" spans="1:16" ht="23.25" customHeight="1">
      <c r="A54" s="455" t="s">
        <v>912</v>
      </c>
      <c r="B54" s="456"/>
      <c r="C54" s="456"/>
      <c r="D54" s="456"/>
      <c r="E54" s="456"/>
      <c r="F54" s="456"/>
      <c r="G54" s="456"/>
      <c r="H54" s="456"/>
      <c r="I54" s="456"/>
      <c r="J54" s="456"/>
      <c r="K54" s="456"/>
      <c r="L54" s="456"/>
      <c r="M54" s="456"/>
      <c r="N54" s="456"/>
      <c r="O54" s="456"/>
      <c r="P54" s="456"/>
    </row>
    <row r="55" spans="1:16">
      <c r="A55" s="345"/>
      <c r="B55" s="345"/>
      <c r="C55" s="345"/>
      <c r="D55" s="345"/>
      <c r="E55" s="345"/>
      <c r="F55" s="345"/>
      <c r="G55" s="345"/>
      <c r="H55" s="345"/>
      <c r="I55" s="345"/>
      <c r="J55" s="345"/>
      <c r="K55" s="345"/>
      <c r="L55" s="345"/>
      <c r="M55" s="415"/>
      <c r="N55" s="345"/>
      <c r="O55" s="345"/>
      <c r="P55" s="351" t="s">
        <v>980</v>
      </c>
    </row>
    <row r="56" spans="1:16" s="399" customFormat="1" ht="18">
      <c r="A56" s="293" t="s">
        <v>913</v>
      </c>
      <c r="B56" s="294"/>
      <c r="C56" s="294"/>
      <c r="D56" s="294"/>
      <c r="E56" s="294"/>
      <c r="F56" s="294"/>
      <c r="G56" s="388"/>
      <c r="H56" s="388"/>
      <c r="I56" s="422" t="s">
        <v>740</v>
      </c>
      <c r="J56" s="423"/>
      <c r="K56" s="423"/>
      <c r="L56" s="423"/>
      <c r="M56" s="423"/>
      <c r="N56" s="226"/>
      <c r="O56" s="226"/>
      <c r="P56" s="226"/>
    </row>
    <row r="57" spans="1:16" s="403" customFormat="1" ht="12.75">
      <c r="A57" s="299"/>
      <c r="B57" s="295"/>
      <c r="C57" s="295"/>
      <c r="D57" s="295"/>
      <c r="E57" s="295"/>
      <c r="F57" s="295"/>
      <c r="G57" s="295"/>
      <c r="H57" s="295"/>
      <c r="I57" s="424"/>
      <c r="J57" s="424"/>
      <c r="K57" s="424"/>
      <c r="L57" s="424"/>
      <c r="M57" s="424"/>
      <c r="N57" s="298"/>
      <c r="O57" s="298"/>
      <c r="P57" s="298"/>
    </row>
    <row r="58" spans="1:16" ht="15" customHeight="1">
      <c r="A58" s="390" t="s">
        <v>914</v>
      </c>
      <c r="B58" s="294"/>
      <c r="C58" s="294"/>
      <c r="D58" s="294"/>
      <c r="E58" s="294"/>
      <c r="F58" s="294"/>
      <c r="G58" s="388"/>
      <c r="H58" s="388"/>
      <c r="I58" s="422" t="s">
        <v>740</v>
      </c>
      <c r="J58" s="423"/>
      <c r="K58" s="423"/>
      <c r="L58" s="423"/>
      <c r="M58" s="423"/>
    </row>
    <row r="59" spans="1:16" ht="15.75" customHeight="1">
      <c r="A59" s="390" t="s">
        <v>915</v>
      </c>
      <c r="B59" s="295"/>
      <c r="C59" s="295"/>
      <c r="D59" s="295"/>
      <c r="E59" s="295"/>
      <c r="F59" s="295"/>
      <c r="G59" s="388"/>
      <c r="H59" s="388"/>
      <c r="I59" s="422" t="s">
        <v>740</v>
      </c>
      <c r="J59" s="423"/>
      <c r="K59" s="423"/>
      <c r="L59" s="423"/>
      <c r="M59" s="423"/>
    </row>
    <row r="60" spans="1:16" ht="15.75" customHeight="1">
      <c r="A60" s="390" t="s">
        <v>928</v>
      </c>
      <c r="B60" s="295"/>
      <c r="C60" s="295"/>
      <c r="D60" s="295"/>
      <c r="E60" s="295"/>
      <c r="F60" s="295"/>
      <c r="G60" s="388"/>
      <c r="H60" s="388"/>
      <c r="I60" s="422" t="s">
        <v>740</v>
      </c>
      <c r="J60" s="423"/>
      <c r="K60" s="423"/>
      <c r="L60" s="423"/>
      <c r="M60" s="423"/>
    </row>
    <row r="61" spans="1:16" ht="15.75" customHeight="1">
      <c r="A61" s="425"/>
      <c r="B61" s="426"/>
      <c r="C61" s="426"/>
      <c r="D61" s="426"/>
      <c r="E61" s="426"/>
      <c r="F61" s="426"/>
      <c r="G61" s="426"/>
      <c r="H61" s="426"/>
    </row>
    <row r="62" spans="1:16" ht="15.75" customHeight="1">
      <c r="A62" s="394"/>
      <c r="B62" s="395" t="s">
        <v>724</v>
      </c>
      <c r="C62" s="395"/>
      <c r="D62" s="395"/>
      <c r="E62" s="395"/>
      <c r="F62" s="395"/>
      <c r="G62" s="395"/>
      <c r="H62" s="395"/>
      <c r="I62" s="403"/>
      <c r="J62" s="403"/>
      <c r="K62" s="403"/>
      <c r="L62" s="403"/>
      <c r="M62" s="403"/>
      <c r="N62" s="399"/>
      <c r="O62" s="399"/>
      <c r="P62" s="399"/>
    </row>
    <row r="63" spans="1:16" ht="15.75" customHeight="1">
      <c r="A63" s="400"/>
      <c r="B63" s="395">
        <v>1</v>
      </c>
      <c r="C63" s="395">
        <v>2</v>
      </c>
      <c r="D63" s="395">
        <v>3</v>
      </c>
      <c r="E63" s="395">
        <v>4</v>
      </c>
      <c r="F63" s="395">
        <v>5</v>
      </c>
      <c r="G63" s="395">
        <v>6</v>
      </c>
      <c r="H63" s="396" t="s">
        <v>907</v>
      </c>
      <c r="I63" s="403"/>
      <c r="J63" s="403"/>
      <c r="K63" s="403"/>
      <c r="L63" s="403"/>
      <c r="M63" s="403"/>
      <c r="N63" s="403"/>
      <c r="O63" s="403"/>
      <c r="P63" s="403"/>
    </row>
    <row r="64" spans="1:16" ht="15.75" customHeight="1">
      <c r="A64" s="298" t="s">
        <v>825</v>
      </c>
      <c r="B64" s="427">
        <f>+'OLD...Tabs'!J41+'OLD...Tabs'!K41</f>
        <v>74.460022291312256</v>
      </c>
      <c r="C64" s="427">
        <f>+'OLD...Tabs'!J72+'OLD...Tabs'!K72</f>
        <v>69.980589591168268</v>
      </c>
      <c r="D64" s="427">
        <f>+'OLD...Tabs'!J102+'OLD...Tabs'!K102</f>
        <v>52.083528201290804</v>
      </c>
      <c r="E64" s="427">
        <f>+'OLD...Tabs'!J133+'OLD...Tabs'!K133</f>
        <v>64.682755447739353</v>
      </c>
      <c r="F64" s="427">
        <f>+'OLD...Tabs'!J164+'OLD...Tabs'!K164</f>
        <v>14.796580931521717</v>
      </c>
      <c r="G64" s="427">
        <f>+'OLD...Tabs'!J194+'OLD...Tabs'!K194</f>
        <v>1.4563106796116505</v>
      </c>
      <c r="H64" s="408">
        <f>+'OLD...Tabs'!J9+'OLD...Tabs'!K9</f>
        <v>62.613145525844558</v>
      </c>
      <c r="I64" s="428"/>
      <c r="J64" s="429"/>
      <c r="K64" s="429"/>
      <c r="L64" s="429"/>
      <c r="M64" s="429"/>
    </row>
    <row r="65" spans="1:16" ht="15.75" customHeight="1">
      <c r="A65" s="298" t="s">
        <v>826</v>
      </c>
      <c r="B65" s="404">
        <f>+'OLD...Tabs'!J42+'OLD...Tabs'!K42</f>
        <v>69.592354935144527</v>
      </c>
      <c r="C65" s="404">
        <f>+'OLD...Tabs'!J73+'OLD...Tabs'!K73</f>
        <v>71.413694350429566</v>
      </c>
      <c r="D65" s="404">
        <f>+'OLD...Tabs'!J103+'OLD...Tabs'!K103</f>
        <v>31.535208331932576</v>
      </c>
      <c r="E65" s="404">
        <f>+'OLD...Tabs'!J134+'OLD...Tabs'!K134</f>
        <v>27.490756470470672</v>
      </c>
      <c r="F65" s="404">
        <f>+'OLD...Tabs'!J165+'OLD...Tabs'!K165</f>
        <v>14.759192128430865</v>
      </c>
      <c r="G65" s="404">
        <f>+'OLD...Tabs'!J195+'OLD...Tabs'!K195</f>
        <v>70.68757539203861</v>
      </c>
      <c r="H65" s="406">
        <f>+'OLD...Tabs'!J10+'OLD...Tabs'!K10</f>
        <v>46.365909098278529</v>
      </c>
      <c r="I65" s="428"/>
      <c r="J65" s="429"/>
      <c r="K65" s="429"/>
      <c r="L65" s="429"/>
      <c r="M65" s="429"/>
    </row>
    <row r="66" spans="1:16" ht="15.75" customHeight="1">
      <c r="A66" s="298" t="s">
        <v>827</v>
      </c>
      <c r="B66" s="404">
        <f>+'OLD...Tabs'!J43+'OLD...Tabs'!K43</f>
        <v>88.135487977149594</v>
      </c>
      <c r="C66" s="404">
        <f>+'OLD...Tabs'!J74+'OLD...Tabs'!K74</f>
        <v>0</v>
      </c>
      <c r="D66" s="404">
        <f>+'OLD...Tabs'!J104+'OLD...Tabs'!K104</f>
        <v>87.196428571428569</v>
      </c>
      <c r="E66" s="404">
        <f>+'OLD...Tabs'!J135+'OLD...Tabs'!K135</f>
        <v>0</v>
      </c>
      <c r="F66" s="404">
        <f>+'OLD...Tabs'!J166+'OLD...Tabs'!K166</f>
        <v>0</v>
      </c>
      <c r="G66" s="404">
        <f>+'OLD...Tabs'!J196+'OLD...Tabs'!K196</f>
        <v>0</v>
      </c>
      <c r="H66" s="406">
        <f>+'OLD...Tabs'!J11+'OLD...Tabs'!K11</f>
        <v>88.060383610162944</v>
      </c>
      <c r="I66" s="428"/>
      <c r="J66" s="429"/>
      <c r="K66" s="429"/>
      <c r="L66" s="429"/>
      <c r="M66" s="429"/>
    </row>
    <row r="67" spans="1:16" ht="15.75" customHeight="1">
      <c r="A67" s="298" t="s">
        <v>828</v>
      </c>
      <c r="B67" s="404">
        <f>+'OLD...Tabs'!J44+'OLD...Tabs'!K44</f>
        <v>0</v>
      </c>
      <c r="C67" s="404">
        <f>+'OLD...Tabs'!J75+'OLD...Tabs'!K75</f>
        <v>0</v>
      </c>
      <c r="D67" s="404">
        <f>+'OLD...Tabs'!J105+'OLD...Tabs'!K105</f>
        <v>0</v>
      </c>
      <c r="E67" s="404">
        <f>+'OLD...Tabs'!J136+'OLD...Tabs'!K136</f>
        <v>0</v>
      </c>
      <c r="F67" s="404">
        <f>+'OLD...Tabs'!J167+'OLD...Tabs'!K167</f>
        <v>0</v>
      </c>
      <c r="G67" s="404">
        <f>+'OLD...Tabs'!J197+'OLD...Tabs'!K197</f>
        <v>0</v>
      </c>
      <c r="H67" s="406">
        <f>+'OLD...Tabs'!J12+'OLD...Tabs'!K12</f>
        <v>0</v>
      </c>
      <c r="I67" s="428"/>
      <c r="J67" s="429"/>
      <c r="K67" s="429"/>
      <c r="L67" s="429"/>
      <c r="M67" s="429"/>
    </row>
    <row r="68" spans="1:16" ht="15.75" customHeight="1">
      <c r="A68" s="298"/>
      <c r="B68" s="404"/>
      <c r="C68" s="404"/>
      <c r="D68" s="404"/>
      <c r="E68" s="404"/>
      <c r="F68" s="404"/>
      <c r="G68" s="404"/>
      <c r="H68" s="406"/>
      <c r="I68" s="428"/>
      <c r="J68" s="429"/>
      <c r="K68" s="429"/>
      <c r="L68" s="429"/>
      <c r="M68" s="429"/>
    </row>
    <row r="69" spans="1:16" ht="15.75" customHeight="1">
      <c r="A69" s="298" t="s">
        <v>829</v>
      </c>
      <c r="B69" s="404">
        <f>+'OLD...Tabs'!J46+'OLD...Tabs'!K46</f>
        <v>94.807595041304779</v>
      </c>
      <c r="C69" s="404">
        <f>+'OLD...Tabs'!J77+'OLD...Tabs'!K77</f>
        <v>81.353825290993342</v>
      </c>
      <c r="D69" s="404">
        <f>+'OLD...Tabs'!J107+'OLD...Tabs'!K107</f>
        <v>33.983990783560394</v>
      </c>
      <c r="E69" s="404">
        <f>+'OLD...Tabs'!J138+'OLD...Tabs'!K138</f>
        <v>79.241948742183368</v>
      </c>
      <c r="F69" s="404">
        <f>+'OLD...Tabs'!J169+'OLD...Tabs'!K169</f>
        <v>77.66749379652606</v>
      </c>
      <c r="G69" s="404">
        <f>+'OLD...Tabs'!J199+'OLD...Tabs'!K199</f>
        <v>5.772314270443613</v>
      </c>
      <c r="H69" s="406">
        <f>+'OLD...Tabs'!J14+'OLD...Tabs'!K14</f>
        <v>79.146787532576724</v>
      </c>
      <c r="I69" s="428"/>
      <c r="J69" s="429"/>
      <c r="K69" s="429"/>
      <c r="L69" s="429"/>
      <c r="M69" s="429"/>
    </row>
    <row r="70" spans="1:16" ht="15.75" customHeight="1">
      <c r="A70" s="298" t="s">
        <v>830</v>
      </c>
      <c r="B70" s="404">
        <f>+'OLD...Tabs'!J47+'OLD...Tabs'!K47</f>
        <v>78.67448207418434</v>
      </c>
      <c r="C70" s="404">
        <f>+'OLD...Tabs'!J78+'OLD...Tabs'!K78</f>
        <v>0</v>
      </c>
      <c r="D70" s="404">
        <f>+'OLD...Tabs'!J108+'OLD...Tabs'!K108</f>
        <v>48.815476152271174</v>
      </c>
      <c r="E70" s="404">
        <f>+'OLD...Tabs'!J139+'OLD...Tabs'!K139</f>
        <v>80.883567299752272</v>
      </c>
      <c r="F70" s="404">
        <f>+'OLD...Tabs'!J170+'OLD...Tabs'!K170</f>
        <v>0</v>
      </c>
      <c r="G70" s="404">
        <f>+'OLD...Tabs'!J200+'OLD...Tabs'!K200</f>
        <v>0</v>
      </c>
      <c r="H70" s="406">
        <f>+'OLD...Tabs'!J15+'OLD...Tabs'!K15</f>
        <v>64.128185623100208</v>
      </c>
      <c r="I70" s="428"/>
      <c r="J70" s="429"/>
      <c r="K70" s="429"/>
      <c r="L70" s="429"/>
      <c r="M70" s="429"/>
    </row>
    <row r="71" spans="1:16" ht="15.75" customHeight="1">
      <c r="A71" s="298" t="s">
        <v>831</v>
      </c>
      <c r="B71" s="404">
        <f>+'OLD...Tabs'!J48+'OLD...Tabs'!K48</f>
        <v>95.658944909480226</v>
      </c>
      <c r="C71" s="404">
        <f>+'OLD...Tabs'!J79+'OLD...Tabs'!K79</f>
        <v>83.188461673593508</v>
      </c>
      <c r="D71" s="404">
        <f>+'OLD...Tabs'!J109+'OLD...Tabs'!K109</f>
        <v>61.226579653268388</v>
      </c>
      <c r="E71" s="404">
        <f>+'OLD...Tabs'!J140+'OLD...Tabs'!K140</f>
        <v>44.19509581043404</v>
      </c>
      <c r="F71" s="404">
        <f>+'OLD...Tabs'!J171+'OLD...Tabs'!K171</f>
        <v>86.111111111111114</v>
      </c>
      <c r="G71" s="404">
        <f>+'OLD...Tabs'!J201+'OLD...Tabs'!K201</f>
        <v>0</v>
      </c>
      <c r="H71" s="406">
        <f>+'OLD...Tabs'!J16+'OLD...Tabs'!K16</f>
        <v>73.789683272098372</v>
      </c>
      <c r="I71" s="428"/>
      <c r="J71" s="429"/>
      <c r="K71" s="429"/>
      <c r="L71" s="429"/>
      <c r="M71" s="429"/>
    </row>
    <row r="72" spans="1:16" ht="15.75" customHeight="1">
      <c r="A72" s="298" t="s">
        <v>832</v>
      </c>
      <c r="B72" s="404">
        <f>+'OLD...Tabs'!J49+'OLD...Tabs'!K49</f>
        <v>90.012317637533826</v>
      </c>
      <c r="C72" s="404">
        <f>+'OLD...Tabs'!J80+'OLD...Tabs'!K80</f>
        <v>77.813655538774029</v>
      </c>
      <c r="D72" s="404">
        <f>+'OLD...Tabs'!J110+'OLD...Tabs'!K110</f>
        <v>76.701408100814149</v>
      </c>
      <c r="E72" s="404">
        <f>+'OLD...Tabs'!J141+'OLD...Tabs'!K141</f>
        <v>65.632355378750205</v>
      </c>
      <c r="F72" s="404">
        <f>+'OLD...Tabs'!J172+'OLD...Tabs'!K172</f>
        <v>87.200479233226829</v>
      </c>
      <c r="G72" s="404">
        <f>+'OLD...Tabs'!J202+'OLD...Tabs'!K202</f>
        <v>100</v>
      </c>
      <c r="H72" s="406">
        <f>+'OLD...Tabs'!J17+'OLD...Tabs'!K17</f>
        <v>53.528201601947671</v>
      </c>
      <c r="I72" s="428"/>
      <c r="J72" s="429"/>
      <c r="K72" s="429"/>
      <c r="L72" s="429"/>
      <c r="M72" s="429"/>
    </row>
    <row r="73" spans="1:16" ht="15.75" customHeight="1">
      <c r="A73" s="298"/>
      <c r="B73" s="404"/>
      <c r="C73" s="404"/>
      <c r="D73" s="404"/>
      <c r="E73" s="404"/>
      <c r="F73" s="404"/>
      <c r="G73" s="404"/>
      <c r="H73" s="406"/>
      <c r="I73" s="428"/>
      <c r="J73" s="429"/>
      <c r="K73" s="429"/>
      <c r="L73" s="429"/>
      <c r="M73" s="429"/>
    </row>
    <row r="74" spans="1:16" ht="15.75" customHeight="1">
      <c r="A74" s="298" t="s">
        <v>833</v>
      </c>
      <c r="B74" s="404">
        <f>+'OLD...Tabs'!J51+'OLD...Tabs'!K51</f>
        <v>77.197627865655974</v>
      </c>
      <c r="C74" s="404">
        <f>+'OLD...Tabs'!J82+'OLD...Tabs'!K82</f>
        <v>55.546808577636426</v>
      </c>
      <c r="D74" s="404">
        <f>+'OLD...Tabs'!J112+'OLD...Tabs'!K112</f>
        <v>0</v>
      </c>
      <c r="E74" s="404">
        <f>+'OLD...Tabs'!J143+'OLD...Tabs'!K143</f>
        <v>20.951302378255946</v>
      </c>
      <c r="F74" s="404">
        <f>+'OLD...Tabs'!J174+'OLD...Tabs'!K174</f>
        <v>65.899311531841647</v>
      </c>
      <c r="G74" s="404">
        <f>+'OLD...Tabs'!J204+'OLD...Tabs'!K204</f>
        <v>0</v>
      </c>
      <c r="H74" s="406">
        <f>+'OLD...Tabs'!J19+'OLD...Tabs'!K19</f>
        <v>65.430425216107622</v>
      </c>
      <c r="I74" s="428"/>
      <c r="J74" s="429"/>
      <c r="K74" s="429"/>
      <c r="L74" s="429"/>
      <c r="M74" s="429"/>
    </row>
    <row r="75" spans="1:16" ht="15.75" customHeight="1">
      <c r="A75" s="298" t="s">
        <v>834</v>
      </c>
      <c r="B75" s="404">
        <f>+'OLD...Tabs'!J52+'OLD...Tabs'!K52</f>
        <v>81.008438163275869</v>
      </c>
      <c r="C75" s="404">
        <f>+'OLD...Tabs'!J83+'OLD...Tabs'!K83</f>
        <v>45.965485354693826</v>
      </c>
      <c r="D75" s="404">
        <f>+'OLD...Tabs'!J113+'OLD...Tabs'!K113</f>
        <v>65.35344144458935</v>
      </c>
      <c r="E75" s="404">
        <f>+'OLD...Tabs'!J144+'OLD...Tabs'!K144</f>
        <v>48.113394568162292</v>
      </c>
      <c r="F75" s="404">
        <f>+'OLD...Tabs'!J175+'OLD...Tabs'!K175</f>
        <v>56.45297436580924</v>
      </c>
      <c r="G75" s="404">
        <f>+'OLD...Tabs'!J205+'OLD...Tabs'!K205</f>
        <v>88.246816846229194</v>
      </c>
      <c r="H75" s="406">
        <f>+'OLD...Tabs'!J20+'OLD...Tabs'!K20</f>
        <v>72.552161479707863</v>
      </c>
      <c r="I75" s="428"/>
      <c r="J75" s="429"/>
      <c r="K75" s="429"/>
      <c r="L75" s="429"/>
      <c r="M75" s="429"/>
    </row>
    <row r="76" spans="1:16" ht="15.75" customHeight="1">
      <c r="A76" s="298" t="s">
        <v>835</v>
      </c>
      <c r="B76" s="404">
        <f>+'OLD...Tabs'!J53+'OLD...Tabs'!K53</f>
        <v>79.138902651916823</v>
      </c>
      <c r="C76" s="404">
        <f>+'OLD...Tabs'!J84+'OLD...Tabs'!K84</f>
        <v>0</v>
      </c>
      <c r="D76" s="404">
        <f>+'OLD...Tabs'!J114+'OLD...Tabs'!K114</f>
        <v>78.809244908992611</v>
      </c>
      <c r="E76" s="404">
        <f>+'OLD...Tabs'!J145+'OLD...Tabs'!K145</f>
        <v>36.908469996622514</v>
      </c>
      <c r="F76" s="404">
        <f>+'OLD...Tabs'!J176+'OLD...Tabs'!K176</f>
        <v>48.054444182945012</v>
      </c>
      <c r="G76" s="404">
        <f>+'OLD...Tabs'!J206+'OLD...Tabs'!K206</f>
        <v>91.071428571428569</v>
      </c>
      <c r="H76" s="406">
        <f>+'OLD...Tabs'!J21+'OLD...Tabs'!K21</f>
        <v>72.984146660958345</v>
      </c>
      <c r="I76" s="428"/>
      <c r="J76" s="429"/>
      <c r="K76" s="429"/>
      <c r="L76" s="429"/>
      <c r="M76" s="429"/>
    </row>
    <row r="77" spans="1:16" s="345" customFormat="1">
      <c r="A77" s="298" t="s">
        <v>836</v>
      </c>
      <c r="B77" s="404">
        <f>+'OLD...Tabs'!J54+'OLD...Tabs'!K54</f>
        <v>78.344167080455634</v>
      </c>
      <c r="C77" s="404">
        <f>+'OLD...Tabs'!J85+'OLD...Tabs'!K85</f>
        <v>0</v>
      </c>
      <c r="D77" s="404">
        <f>+'OLD...Tabs'!J115+'OLD...Tabs'!K115</f>
        <v>73.441504997060548</v>
      </c>
      <c r="E77" s="404">
        <f>+'OLD...Tabs'!J146+'OLD...Tabs'!K146</f>
        <v>46.275234574921804</v>
      </c>
      <c r="F77" s="404">
        <f>+'OLD...Tabs'!J177+'OLD...Tabs'!K177</f>
        <v>79.237386654266444</v>
      </c>
      <c r="G77" s="404">
        <f>+'OLD...Tabs'!J207+'OLD...Tabs'!K207</f>
        <v>34.880860876249038</v>
      </c>
      <c r="H77" s="406">
        <f>+'OLD...Tabs'!J22+'OLD...Tabs'!K22</f>
        <v>75.621129368675724</v>
      </c>
      <c r="I77" s="428"/>
      <c r="J77" s="429"/>
      <c r="K77" s="429"/>
      <c r="L77" s="429"/>
      <c r="M77" s="429"/>
      <c r="N77" s="226"/>
      <c r="O77" s="226"/>
      <c r="P77" s="226"/>
    </row>
    <row r="78" spans="1:16" s="345" customFormat="1" ht="27.75" customHeight="1">
      <c r="A78" s="298"/>
      <c r="B78" s="404"/>
      <c r="C78" s="404"/>
      <c r="D78" s="404"/>
      <c r="E78" s="404"/>
      <c r="F78" s="404"/>
      <c r="G78" s="404"/>
      <c r="H78" s="406"/>
      <c r="I78" s="428"/>
      <c r="J78" s="429"/>
      <c r="K78" s="429"/>
      <c r="L78" s="429"/>
      <c r="M78" s="429"/>
      <c r="N78" s="226"/>
      <c r="O78" s="226"/>
      <c r="P78" s="226"/>
    </row>
    <row r="79" spans="1:16" s="345" customFormat="1">
      <c r="A79" s="298" t="s">
        <v>837</v>
      </c>
      <c r="B79" s="404">
        <f>+'OLD...Tabs'!J56+'OLD...Tabs'!K56</f>
        <v>71.146329424634132</v>
      </c>
      <c r="C79" s="404">
        <f>+'OLD...Tabs'!J87+'OLD...Tabs'!K87</f>
        <v>58.375330089668324</v>
      </c>
      <c r="D79" s="404">
        <f>+'OLD...Tabs'!J117+'OLD...Tabs'!K117</f>
        <v>43.80495744944357</v>
      </c>
      <c r="E79" s="404">
        <f>+'OLD...Tabs'!J148+'OLD...Tabs'!K148</f>
        <v>0</v>
      </c>
      <c r="F79" s="404">
        <f>+'OLD...Tabs'!J179+'OLD...Tabs'!K179</f>
        <v>13.023531152878496</v>
      </c>
      <c r="G79" s="404">
        <f>+'OLD...Tabs'!J209+'OLD...Tabs'!K209</f>
        <v>0</v>
      </c>
      <c r="H79" s="406">
        <f>+'OLD...Tabs'!J24+'OLD...Tabs'!K24</f>
        <v>60.8539362753924</v>
      </c>
      <c r="I79" s="428"/>
      <c r="J79" s="429"/>
      <c r="K79" s="429"/>
      <c r="L79" s="429"/>
      <c r="M79" s="429"/>
      <c r="N79" s="226"/>
      <c r="O79" s="226"/>
      <c r="P79" s="226"/>
    </row>
    <row r="80" spans="1:16">
      <c r="A80" s="298" t="s">
        <v>838</v>
      </c>
      <c r="B80" s="404">
        <f>+'OLD...Tabs'!J57+'OLD...Tabs'!K57</f>
        <v>79.506865450295578</v>
      </c>
      <c r="C80" s="404">
        <f>+'OLD...Tabs'!J88+'OLD...Tabs'!K88</f>
        <v>62.889487253944367</v>
      </c>
      <c r="D80" s="404">
        <f>+'OLD...Tabs'!J118+'OLD...Tabs'!K118</f>
        <v>38.594959741815764</v>
      </c>
      <c r="E80" s="404">
        <f>+'OLD...Tabs'!J149+'OLD...Tabs'!K149</f>
        <v>29.133640552995388</v>
      </c>
      <c r="F80" s="404">
        <f>+'OLD...Tabs'!J180+'OLD...Tabs'!K180</f>
        <v>23.421042011380603</v>
      </c>
      <c r="G80" s="404">
        <f>+'OLD...Tabs'!J210+'OLD...Tabs'!K210</f>
        <v>0</v>
      </c>
      <c r="H80" s="406">
        <f>+'OLD...Tabs'!J25+'OLD...Tabs'!K25</f>
        <v>63.719183337355574</v>
      </c>
      <c r="I80" s="428"/>
      <c r="J80" s="429"/>
      <c r="K80" s="429"/>
      <c r="L80" s="429"/>
      <c r="M80" s="429"/>
    </row>
    <row r="81" spans="1:16" s="298" customFormat="1">
      <c r="A81" s="298" t="s">
        <v>839</v>
      </c>
      <c r="B81" s="404">
        <f>+'OLD...Tabs'!J58+'OLD...Tabs'!K58</f>
        <v>86.044940895904091</v>
      </c>
      <c r="C81" s="404">
        <f>+'OLD...Tabs'!J89+'OLD...Tabs'!K89</f>
        <v>90.596410906266598</v>
      </c>
      <c r="D81" s="404">
        <f>+'OLD...Tabs'!J119+'OLD...Tabs'!K119</f>
        <v>77.280431347851547</v>
      </c>
      <c r="E81" s="404">
        <f>+'OLD...Tabs'!J150+'OLD...Tabs'!K150</f>
        <v>0</v>
      </c>
      <c r="F81" s="404">
        <f>+'OLD...Tabs'!J181+'OLD...Tabs'!K181</f>
        <v>100</v>
      </c>
      <c r="G81" s="404">
        <f>+'OLD...Tabs'!J211+'OLD...Tabs'!K211</f>
        <v>0</v>
      </c>
      <c r="H81" s="406">
        <f>+'OLD...Tabs'!J26+'OLD...Tabs'!K26</f>
        <v>85.502885855162603</v>
      </c>
      <c r="I81" s="428"/>
      <c r="J81" s="429"/>
      <c r="K81" s="429"/>
      <c r="L81" s="429"/>
      <c r="M81" s="429"/>
      <c r="N81" s="226"/>
      <c r="O81" s="226"/>
      <c r="P81" s="226"/>
    </row>
    <row r="82" spans="1:16">
      <c r="A82" s="304" t="s">
        <v>840</v>
      </c>
      <c r="B82" s="410">
        <f>+'OLD...Tabs'!J59+'OLD...Tabs'!K59</f>
        <v>70.637298477814724</v>
      </c>
      <c r="C82" s="410">
        <f>+'OLD...Tabs'!J90+'OLD...Tabs'!K90</f>
        <v>0</v>
      </c>
      <c r="D82" s="410">
        <f>+'OLD...Tabs'!J120+'OLD...Tabs'!K120</f>
        <v>76.348901376710046</v>
      </c>
      <c r="E82" s="410">
        <f>+'OLD...Tabs'!J151+'OLD...Tabs'!K151</f>
        <v>0</v>
      </c>
      <c r="F82" s="410">
        <f>+'OLD...Tabs'!J182+'OLD...Tabs'!K182</f>
        <v>51.335338619998183</v>
      </c>
      <c r="G82" s="410">
        <f>+'OLD...Tabs'!J212+'OLD...Tabs'!K212</f>
        <v>73.131955484896665</v>
      </c>
      <c r="H82" s="412">
        <f>+'OLD...Tabs'!J27+'OLD...Tabs'!K27</f>
        <v>70.510015148964825</v>
      </c>
      <c r="I82" s="428"/>
      <c r="J82" s="429"/>
      <c r="K82" s="429"/>
      <c r="L82" s="429"/>
      <c r="M82" s="429"/>
    </row>
    <row r="83" spans="1:16" ht="34.5" customHeight="1">
      <c r="A83" s="457" t="s">
        <v>916</v>
      </c>
      <c r="B83" s="457"/>
      <c r="C83" s="457"/>
      <c r="D83" s="457"/>
      <c r="E83" s="457"/>
      <c r="F83" s="457"/>
      <c r="G83" s="457"/>
      <c r="H83" s="457"/>
      <c r="I83" s="345"/>
      <c r="J83" s="345"/>
      <c r="K83" s="345"/>
      <c r="L83" s="345"/>
      <c r="M83" s="345"/>
      <c r="N83" s="345"/>
      <c r="O83" s="345"/>
      <c r="P83" s="345"/>
    </row>
    <row r="84" spans="1:16" s="403" customFormat="1" ht="12.75">
      <c r="A84" s="345"/>
      <c r="B84" s="345"/>
      <c r="C84" s="345"/>
      <c r="D84" s="345"/>
      <c r="E84" s="345"/>
      <c r="F84" s="345"/>
      <c r="G84" s="345"/>
      <c r="H84" s="351" t="s">
        <v>980</v>
      </c>
      <c r="I84" s="345"/>
      <c r="J84" s="345"/>
      <c r="K84" s="345"/>
      <c r="L84" s="345"/>
      <c r="M84" s="345"/>
      <c r="N84" s="345"/>
      <c r="O84" s="345"/>
      <c r="P84" s="345"/>
    </row>
    <row r="85" spans="1:16" s="403" customFormat="1" ht="18">
      <c r="A85" s="293" t="s">
        <v>917</v>
      </c>
      <c r="B85" s="294"/>
      <c r="C85" s="294"/>
      <c r="D85" s="294"/>
      <c r="E85" s="294"/>
      <c r="F85" s="294"/>
      <c r="G85" s="388"/>
      <c r="H85" s="388"/>
      <c r="I85" s="422"/>
      <c r="J85" s="423"/>
      <c r="K85" s="423"/>
      <c r="L85" s="423"/>
      <c r="M85" s="423"/>
      <c r="N85" s="226"/>
      <c r="O85" s="226"/>
      <c r="P85" s="226"/>
    </row>
    <row r="86" spans="1:16" ht="11.25" customHeight="1">
      <c r="A86" s="299"/>
      <c r="B86" s="295"/>
      <c r="C86" s="295"/>
      <c r="D86" s="295"/>
      <c r="E86" s="295"/>
      <c r="F86" s="295"/>
      <c r="G86" s="295"/>
      <c r="H86" s="295"/>
      <c r="I86" s="424"/>
      <c r="J86" s="424"/>
      <c r="K86" s="424"/>
      <c r="L86" s="424"/>
      <c r="M86" s="424"/>
      <c r="N86" s="298"/>
      <c r="O86" s="298"/>
      <c r="P86" s="298"/>
    </row>
    <row r="87" spans="1:16" ht="15.75" customHeight="1">
      <c r="A87" s="390" t="s">
        <v>918</v>
      </c>
      <c r="B87" s="294"/>
      <c r="C87" s="294"/>
      <c r="D87" s="294"/>
      <c r="E87" s="294"/>
      <c r="F87" s="294"/>
      <c r="G87" s="388"/>
      <c r="H87" s="388"/>
      <c r="I87" s="422"/>
      <c r="J87" s="423"/>
      <c r="K87" s="423"/>
      <c r="L87" s="423"/>
      <c r="M87" s="423"/>
    </row>
    <row r="88" spans="1:16" ht="15.75" customHeight="1">
      <c r="A88" s="390" t="s">
        <v>928</v>
      </c>
      <c r="B88" s="295"/>
      <c r="C88" s="295"/>
      <c r="D88" s="295"/>
      <c r="E88" s="295"/>
      <c r="F88" s="295"/>
      <c r="G88" s="388"/>
      <c r="H88" s="388"/>
      <c r="I88" s="422"/>
      <c r="J88" s="423"/>
      <c r="K88" s="423"/>
      <c r="L88" s="423"/>
      <c r="M88" s="423"/>
    </row>
    <row r="89" spans="1:16" ht="15.75" customHeight="1">
      <c r="A89" s="416"/>
      <c r="B89" s="424"/>
      <c r="C89" s="424"/>
      <c r="D89" s="424"/>
      <c r="E89" s="424"/>
      <c r="F89" s="424"/>
      <c r="G89" s="423"/>
      <c r="H89" s="423"/>
      <c r="I89" s="422"/>
      <c r="J89" s="423"/>
      <c r="K89" s="423"/>
      <c r="L89" s="423"/>
      <c r="M89" s="423"/>
    </row>
    <row r="90" spans="1:16" ht="15.75" customHeight="1">
      <c r="A90" s="400"/>
      <c r="B90" s="395" t="s">
        <v>724</v>
      </c>
      <c r="C90" s="395"/>
      <c r="D90" s="395"/>
      <c r="E90" s="395"/>
      <c r="F90" s="395"/>
      <c r="G90" s="395"/>
      <c r="H90" s="395"/>
      <c r="I90" s="403"/>
      <c r="J90" s="403"/>
      <c r="K90" s="403"/>
      <c r="L90" s="403"/>
      <c r="M90" s="403"/>
      <c r="N90" s="403"/>
      <c r="O90" s="403"/>
      <c r="P90" s="403"/>
    </row>
    <row r="91" spans="1:16" ht="15.75" customHeight="1">
      <c r="A91" s="400"/>
      <c r="B91" s="395">
        <v>1</v>
      </c>
      <c r="C91" s="395">
        <v>2</v>
      </c>
      <c r="D91" s="395">
        <v>3</v>
      </c>
      <c r="E91" s="395">
        <v>4</v>
      </c>
      <c r="F91" s="395">
        <v>5</v>
      </c>
      <c r="G91" s="395">
        <v>6</v>
      </c>
      <c r="H91" s="396" t="s">
        <v>907</v>
      </c>
      <c r="I91" s="403"/>
      <c r="J91" s="403"/>
      <c r="K91" s="403"/>
      <c r="L91" s="403"/>
      <c r="M91" s="403"/>
      <c r="N91" s="403"/>
      <c r="O91" s="403"/>
      <c r="P91" s="403"/>
    </row>
    <row r="92" spans="1:16">
      <c r="A92" s="298" t="s">
        <v>825</v>
      </c>
      <c r="B92" s="427">
        <f>+'OLD...Tabs'!L41</f>
        <v>25.539977708687744</v>
      </c>
      <c r="C92" s="427">
        <f>+'OLD...Tabs'!L72</f>
        <v>30.019410408831739</v>
      </c>
      <c r="D92" s="427">
        <f>+'OLD...Tabs'!L102</f>
        <v>47.916471798709196</v>
      </c>
      <c r="E92" s="427">
        <f>+'OLD...Tabs'!L133</f>
        <v>35.317244552260654</v>
      </c>
      <c r="F92" s="427">
        <f>+'OLD...Tabs'!L164</f>
        <v>85.203419068478283</v>
      </c>
      <c r="G92" s="427">
        <f>+'OLD...Tabs'!L194</f>
        <v>98.543689320388353</v>
      </c>
      <c r="H92" s="408">
        <f>+'OLD...Tabs'!L9</f>
        <v>37.386854474155435</v>
      </c>
      <c r="I92" s="428"/>
      <c r="J92" s="429"/>
      <c r="K92" s="429"/>
      <c r="L92" s="429"/>
      <c r="M92" s="429"/>
    </row>
    <row r="93" spans="1:16">
      <c r="A93" s="298" t="s">
        <v>826</v>
      </c>
      <c r="B93" s="404">
        <f>+'OLD...Tabs'!L42</f>
        <v>30.407645064855469</v>
      </c>
      <c r="C93" s="404">
        <f>+'OLD...Tabs'!L73</f>
        <v>28.586305649570427</v>
      </c>
      <c r="D93" s="404">
        <f>+'OLD...Tabs'!L103</f>
        <v>68.46479166806742</v>
      </c>
      <c r="E93" s="404">
        <f>+'OLD...Tabs'!L134</f>
        <v>72.509243529529328</v>
      </c>
      <c r="F93" s="404">
        <f>+'OLD...Tabs'!L165</f>
        <v>85.240807871569132</v>
      </c>
      <c r="G93" s="404">
        <f>+'OLD...Tabs'!L195</f>
        <v>29.3124246079614</v>
      </c>
      <c r="H93" s="406">
        <f>+'OLD...Tabs'!L10</f>
        <v>53.634090901721478</v>
      </c>
      <c r="I93" s="428"/>
      <c r="J93" s="429"/>
      <c r="K93" s="429"/>
      <c r="L93" s="429"/>
      <c r="M93" s="429"/>
    </row>
    <row r="94" spans="1:16">
      <c r="A94" s="298" t="s">
        <v>827</v>
      </c>
      <c r="B94" s="404">
        <f>+'OLD...Tabs'!L43</f>
        <v>11.864512022850402</v>
      </c>
      <c r="C94" s="404">
        <f>+'OLD...Tabs'!L74</f>
        <v>0</v>
      </c>
      <c r="D94" s="404">
        <f>+'OLD...Tabs'!L104</f>
        <v>12.803571428571429</v>
      </c>
      <c r="E94" s="404">
        <f>+'OLD...Tabs'!L135</f>
        <v>0</v>
      </c>
      <c r="F94" s="404">
        <f>+'OLD...Tabs'!L166</f>
        <v>0</v>
      </c>
      <c r="G94" s="404">
        <f>+'OLD...Tabs'!L196</f>
        <v>0</v>
      </c>
      <c r="H94" s="406">
        <f>+'OLD...Tabs'!L11</f>
        <v>11.939616389837045</v>
      </c>
      <c r="I94" s="428"/>
      <c r="J94" s="429"/>
      <c r="K94" s="429"/>
      <c r="L94" s="429"/>
      <c r="M94" s="429"/>
    </row>
    <row r="95" spans="1:16">
      <c r="A95" s="298" t="s">
        <v>865</v>
      </c>
      <c r="B95" s="404">
        <f>+'OLD...Tabs'!L44</f>
        <v>0</v>
      </c>
      <c r="C95" s="404">
        <f>+'OLD...Tabs'!L75</f>
        <v>0</v>
      </c>
      <c r="D95" s="404">
        <f>+'OLD...Tabs'!L105</f>
        <v>0</v>
      </c>
      <c r="E95" s="404">
        <f>+'OLD...Tabs'!L136</f>
        <v>0</v>
      </c>
      <c r="F95" s="404">
        <f>+'OLD...Tabs'!L167</f>
        <v>0</v>
      </c>
      <c r="G95" s="404">
        <f>+'OLD...Tabs'!L197</f>
        <v>0</v>
      </c>
      <c r="H95" s="406">
        <f>+'OLD...Tabs'!L12</f>
        <v>0</v>
      </c>
      <c r="I95" s="428"/>
      <c r="J95" s="429"/>
      <c r="K95" s="429"/>
      <c r="L95" s="429"/>
      <c r="M95" s="429"/>
    </row>
    <row r="96" spans="1:16">
      <c r="A96" s="298"/>
      <c r="B96" s="404"/>
      <c r="C96" s="404"/>
      <c r="D96" s="404"/>
      <c r="E96" s="404"/>
      <c r="F96" s="404"/>
      <c r="G96" s="404"/>
      <c r="H96" s="406"/>
      <c r="I96" s="428"/>
      <c r="J96" s="429"/>
      <c r="K96" s="429"/>
      <c r="L96" s="429"/>
      <c r="M96" s="429"/>
    </row>
    <row r="97" spans="1:16">
      <c r="A97" s="298" t="s">
        <v>829</v>
      </c>
      <c r="B97" s="404">
        <f>+'OLD...Tabs'!L46</f>
        <v>5.1924049586952172</v>
      </c>
      <c r="C97" s="404">
        <f>+'OLD...Tabs'!L77</f>
        <v>18.646174709006669</v>
      </c>
      <c r="D97" s="404">
        <f>+'OLD...Tabs'!L107</f>
        <v>66.016009216439599</v>
      </c>
      <c r="E97" s="404">
        <f>+'OLD...Tabs'!L138</f>
        <v>20.758051257816632</v>
      </c>
      <c r="F97" s="404">
        <f>+'OLD...Tabs'!L169</f>
        <v>22.332506203473944</v>
      </c>
      <c r="G97" s="404">
        <f>+'OLD...Tabs'!L199</f>
        <v>94.227685729556384</v>
      </c>
      <c r="H97" s="406">
        <f>+'OLD...Tabs'!L14</f>
        <v>20.853212467423269</v>
      </c>
      <c r="I97" s="428"/>
      <c r="J97" s="429"/>
      <c r="K97" s="429"/>
      <c r="L97" s="429"/>
      <c r="M97" s="429"/>
    </row>
    <row r="98" spans="1:16">
      <c r="A98" s="298" t="s">
        <v>830</v>
      </c>
      <c r="B98" s="404">
        <f>+'OLD...Tabs'!L47</f>
        <v>21.325517925815657</v>
      </c>
      <c r="C98" s="404">
        <f>+'OLD...Tabs'!L78</f>
        <v>0</v>
      </c>
      <c r="D98" s="404">
        <f>+'OLD...Tabs'!L108</f>
        <v>51.184523847728833</v>
      </c>
      <c r="E98" s="404">
        <f>+'OLD...Tabs'!L139</f>
        <v>19.116432700247728</v>
      </c>
      <c r="F98" s="404">
        <f>+'OLD...Tabs'!L170</f>
        <v>0</v>
      </c>
      <c r="G98" s="404">
        <f>+'OLD...Tabs'!L200</f>
        <v>0</v>
      </c>
      <c r="H98" s="406">
        <f>+'OLD...Tabs'!L15</f>
        <v>35.871814376899792</v>
      </c>
      <c r="I98" s="428"/>
      <c r="J98" s="429"/>
      <c r="K98" s="429"/>
      <c r="L98" s="429"/>
      <c r="M98" s="429"/>
    </row>
    <row r="99" spans="1:16">
      <c r="A99" s="298" t="s">
        <v>831</v>
      </c>
      <c r="B99" s="404">
        <f>+'OLD...Tabs'!L48</f>
        <v>4.3410550905197773</v>
      </c>
      <c r="C99" s="404">
        <f>+'OLD...Tabs'!L79</f>
        <v>16.811538326406492</v>
      </c>
      <c r="D99" s="404">
        <f>+'OLD...Tabs'!L109</f>
        <v>38.773420346731605</v>
      </c>
      <c r="E99" s="404">
        <f>+'OLD...Tabs'!L140</f>
        <v>55.804904189565953</v>
      </c>
      <c r="F99" s="404">
        <f>+'OLD...Tabs'!L171</f>
        <v>13.888888888888889</v>
      </c>
      <c r="G99" s="404">
        <f>+'OLD...Tabs'!L201</f>
        <v>0</v>
      </c>
      <c r="H99" s="406">
        <f>+'OLD...Tabs'!L16</f>
        <v>26.21031672790161</v>
      </c>
      <c r="I99" s="428"/>
      <c r="J99" s="429"/>
      <c r="K99" s="429"/>
      <c r="L99" s="429"/>
      <c r="M99" s="429"/>
    </row>
    <row r="100" spans="1:16">
      <c r="A100" s="298" t="s">
        <v>832</v>
      </c>
      <c r="B100" s="404">
        <f>+'OLD...Tabs'!L49</f>
        <v>9.9876823624661739</v>
      </c>
      <c r="C100" s="404">
        <f>+'OLD...Tabs'!L80</f>
        <v>22.186344461225978</v>
      </c>
      <c r="D100" s="404">
        <f>+'OLD...Tabs'!L110</f>
        <v>23.298591899185855</v>
      </c>
      <c r="E100" s="404">
        <f>+'OLD...Tabs'!L141</f>
        <v>34.367644621249795</v>
      </c>
      <c r="F100" s="404">
        <f>+'OLD...Tabs'!L172</f>
        <v>12.799520766773162</v>
      </c>
      <c r="G100" s="404">
        <f>+'OLD...Tabs'!L202</f>
        <v>0</v>
      </c>
      <c r="H100" s="406">
        <f>+'OLD...Tabs'!L17</f>
        <v>46.471798398052329</v>
      </c>
      <c r="I100" s="428"/>
      <c r="J100" s="429"/>
      <c r="K100" s="429"/>
      <c r="L100" s="429"/>
      <c r="M100" s="429"/>
    </row>
    <row r="101" spans="1:16">
      <c r="A101" s="298"/>
      <c r="B101" s="404"/>
      <c r="C101" s="404"/>
      <c r="D101" s="404"/>
      <c r="E101" s="404"/>
      <c r="F101" s="404"/>
      <c r="G101" s="404"/>
      <c r="H101" s="406"/>
      <c r="I101" s="428"/>
      <c r="J101" s="429"/>
      <c r="K101" s="429"/>
      <c r="L101" s="429"/>
      <c r="M101" s="429"/>
    </row>
    <row r="102" spans="1:16">
      <c r="A102" s="298" t="s">
        <v>833</v>
      </c>
      <c r="B102" s="404">
        <f>+'OLD...Tabs'!L51</f>
        <v>22.736607709436619</v>
      </c>
      <c r="C102" s="404">
        <f>+'OLD...Tabs'!L82</f>
        <v>44.453191422363574</v>
      </c>
      <c r="D102" s="404">
        <f>+'OLD...Tabs'!L112</f>
        <v>0</v>
      </c>
      <c r="E102" s="404">
        <f>+'OLD...Tabs'!L143</f>
        <v>78.909708637907954</v>
      </c>
      <c r="F102" s="404">
        <f>+'OLD...Tabs'!L174</f>
        <v>34.100688468158346</v>
      </c>
      <c r="G102" s="404">
        <f>+'OLD...Tabs'!L204</f>
        <v>0</v>
      </c>
      <c r="H102" s="406">
        <f>+'OLD...Tabs'!L19</f>
        <v>34.501997160130813</v>
      </c>
      <c r="I102" s="428"/>
      <c r="J102" s="429"/>
      <c r="K102" s="429"/>
      <c r="L102" s="429"/>
      <c r="M102" s="429"/>
    </row>
    <row r="103" spans="1:16">
      <c r="A103" s="298" t="s">
        <v>834</v>
      </c>
      <c r="B103" s="404">
        <f>+'OLD...Tabs'!L52</f>
        <v>18.991561836724131</v>
      </c>
      <c r="C103" s="404">
        <f>+'OLD...Tabs'!L83</f>
        <v>54.034514645306174</v>
      </c>
      <c r="D103" s="404">
        <f>+'OLD...Tabs'!L113</f>
        <v>34.646558555410657</v>
      </c>
      <c r="E103" s="404">
        <f>+'OLD...Tabs'!L144</f>
        <v>51.886605431837708</v>
      </c>
      <c r="F103" s="404">
        <f>+'OLD...Tabs'!L175</f>
        <v>43.547025634190767</v>
      </c>
      <c r="G103" s="404">
        <f>+'OLD...Tabs'!L205</f>
        <v>11.753183153770813</v>
      </c>
      <c r="H103" s="406">
        <f>+'OLD...Tabs'!L20</f>
        <v>27.447838520292137</v>
      </c>
      <c r="I103" s="428"/>
      <c r="J103" s="429"/>
      <c r="K103" s="429"/>
      <c r="L103" s="429"/>
      <c r="M103" s="429"/>
    </row>
    <row r="104" spans="1:16">
      <c r="A104" s="298" t="s">
        <v>835</v>
      </c>
      <c r="B104" s="404">
        <f>+'OLD...Tabs'!L53</f>
        <v>20.861097348083181</v>
      </c>
      <c r="C104" s="404">
        <f>+'OLD...Tabs'!L84</f>
        <v>0</v>
      </c>
      <c r="D104" s="404">
        <f>+'OLD...Tabs'!L114</f>
        <v>21.190755091007389</v>
      </c>
      <c r="E104" s="404">
        <f>+'OLD...Tabs'!L145</f>
        <v>63.091530003377486</v>
      </c>
      <c r="F104" s="404">
        <f>+'OLD...Tabs'!L176</f>
        <v>51.945555817054995</v>
      </c>
      <c r="G104" s="404">
        <f>+'OLD...Tabs'!L206</f>
        <v>8.9285714285714288</v>
      </c>
      <c r="H104" s="406">
        <f>+'OLD...Tabs'!L21</f>
        <v>27.015853339041644</v>
      </c>
      <c r="I104" s="428"/>
      <c r="J104" s="429"/>
      <c r="K104" s="429"/>
      <c r="L104" s="429"/>
      <c r="M104" s="429"/>
    </row>
    <row r="105" spans="1:16" s="345" customFormat="1">
      <c r="A105" s="298" t="s">
        <v>836</v>
      </c>
      <c r="B105" s="404">
        <f>+'OLD...Tabs'!L54</f>
        <v>21.655832919544384</v>
      </c>
      <c r="C105" s="404">
        <f>+'OLD...Tabs'!L85</f>
        <v>0</v>
      </c>
      <c r="D105" s="404">
        <f>+'OLD...Tabs'!L115</f>
        <v>26.558495002939448</v>
      </c>
      <c r="E105" s="404">
        <f>+'OLD...Tabs'!L146</f>
        <v>53.724765425078189</v>
      </c>
      <c r="F105" s="404">
        <f>+'OLD...Tabs'!L177</f>
        <v>20.762613345733548</v>
      </c>
      <c r="G105" s="404">
        <f>+'OLD...Tabs'!L207</f>
        <v>65.119139123750955</v>
      </c>
      <c r="H105" s="406">
        <f>+'OLD...Tabs'!L22</f>
        <v>24.37887063132429</v>
      </c>
      <c r="I105" s="428"/>
      <c r="J105" s="429"/>
      <c r="K105" s="429"/>
      <c r="L105" s="429"/>
      <c r="M105" s="429"/>
      <c r="N105" s="226"/>
      <c r="O105" s="226"/>
      <c r="P105" s="226"/>
    </row>
    <row r="106" spans="1:16" s="345" customFormat="1">
      <c r="A106" s="298"/>
      <c r="B106" s="404"/>
      <c r="C106" s="404"/>
      <c r="D106" s="404"/>
      <c r="E106" s="404"/>
      <c r="F106" s="404"/>
      <c r="G106" s="404"/>
      <c r="H106" s="406"/>
      <c r="I106" s="428"/>
      <c r="J106" s="429"/>
      <c r="K106" s="429"/>
      <c r="L106" s="429"/>
      <c r="M106" s="429"/>
      <c r="N106" s="226"/>
      <c r="O106" s="226"/>
      <c r="P106" s="226"/>
    </row>
    <row r="107" spans="1:16" s="345" customFormat="1">
      <c r="A107" s="298" t="s">
        <v>837</v>
      </c>
      <c r="B107" s="404">
        <f>+'OLD...Tabs'!L56</f>
        <v>25.586638385293682</v>
      </c>
      <c r="C107" s="404">
        <f>+'OLD...Tabs'!L87</f>
        <v>36.705971116549463</v>
      </c>
      <c r="D107" s="404">
        <f>+'OLD...Tabs'!L117</f>
        <v>53.173156879743814</v>
      </c>
      <c r="E107" s="404">
        <f>+'OLD...Tabs'!L148</f>
        <v>0</v>
      </c>
      <c r="F107" s="404">
        <f>+'OLD...Tabs'!L179</f>
        <v>86.976468847121495</v>
      </c>
      <c r="G107" s="404">
        <f>+'OLD...Tabs'!L209</f>
        <v>0</v>
      </c>
      <c r="H107" s="406">
        <f>+'OLD...Tabs'!L24</f>
        <v>35.453169962821519</v>
      </c>
      <c r="I107" s="428"/>
      <c r="J107" s="429"/>
      <c r="K107" s="429"/>
      <c r="L107" s="429"/>
      <c r="M107" s="429"/>
      <c r="N107" s="226"/>
      <c r="O107" s="226"/>
      <c r="P107" s="226"/>
    </row>
    <row r="108" spans="1:16" s="345" customFormat="1">
      <c r="A108" s="298" t="s">
        <v>838</v>
      </c>
      <c r="B108" s="404">
        <f>+'OLD...Tabs'!L57</f>
        <v>20.493134549704425</v>
      </c>
      <c r="C108" s="404">
        <f>+'OLD...Tabs'!L88</f>
        <v>37.110512746055626</v>
      </c>
      <c r="D108" s="404">
        <f>+'OLD...Tabs'!L118</f>
        <v>61.405040258184236</v>
      </c>
      <c r="E108" s="404">
        <f>+'OLD...Tabs'!L149</f>
        <v>76.027649769585253</v>
      </c>
      <c r="F108" s="404">
        <f>+'OLD...Tabs'!L180</f>
        <v>73.188990677589899</v>
      </c>
      <c r="G108" s="404">
        <f>+'OLD...Tabs'!L210</f>
        <v>0</v>
      </c>
      <c r="H108" s="406">
        <f>+'OLD...Tabs'!L25</f>
        <v>36.280816662644419</v>
      </c>
      <c r="I108" s="428"/>
      <c r="J108" s="429"/>
      <c r="K108" s="429"/>
      <c r="L108" s="429"/>
      <c r="M108" s="429"/>
      <c r="N108" s="226"/>
      <c r="O108" s="226"/>
      <c r="P108" s="226"/>
    </row>
    <row r="109" spans="1:16">
      <c r="A109" s="298" t="s">
        <v>839</v>
      </c>
      <c r="B109" s="404">
        <f>+'OLD...Tabs'!L58</f>
        <v>13.955059104095913</v>
      </c>
      <c r="C109" s="404">
        <f>+'OLD...Tabs'!L89</f>
        <v>9.4035890937333928</v>
      </c>
      <c r="D109" s="404">
        <f>+'OLD...Tabs'!L119</f>
        <v>22.719568652148453</v>
      </c>
      <c r="E109" s="404">
        <f>+'OLD...Tabs'!L150</f>
        <v>0</v>
      </c>
      <c r="F109" s="404">
        <f>+'OLD...Tabs'!L181</f>
        <v>0</v>
      </c>
      <c r="G109" s="404">
        <f>+'OLD...Tabs'!L211</f>
        <v>0</v>
      </c>
      <c r="H109" s="406">
        <f>+'OLD...Tabs'!L26</f>
        <v>14.497114144837392</v>
      </c>
      <c r="I109" s="428"/>
      <c r="J109" s="429"/>
      <c r="K109" s="429"/>
      <c r="L109" s="429"/>
      <c r="M109" s="429"/>
    </row>
    <row r="110" spans="1:16">
      <c r="A110" s="304" t="s">
        <v>840</v>
      </c>
      <c r="B110" s="410">
        <f>+'OLD...Tabs'!L59</f>
        <v>29.362701522185279</v>
      </c>
      <c r="C110" s="410">
        <f>+'OLD...Tabs'!L90</f>
        <v>0</v>
      </c>
      <c r="D110" s="410">
        <f>+'OLD...Tabs'!L120</f>
        <v>23.651098623289947</v>
      </c>
      <c r="E110" s="410">
        <f>+'OLD...Tabs'!L151</f>
        <v>0</v>
      </c>
      <c r="F110" s="410">
        <f>+'OLD...Tabs'!L182</f>
        <v>48.664661380001824</v>
      </c>
      <c r="G110" s="410">
        <f>+'OLD...Tabs'!L212</f>
        <v>26.868044515103339</v>
      </c>
      <c r="H110" s="412">
        <f>+'OLD...Tabs'!L27</f>
        <v>29.489984851035182</v>
      </c>
      <c r="I110" s="428"/>
      <c r="J110" s="429"/>
      <c r="K110" s="429"/>
      <c r="L110" s="429"/>
      <c r="M110" s="429"/>
    </row>
    <row r="111" spans="1:16" ht="35.25" customHeight="1">
      <c r="A111" s="458" t="s">
        <v>916</v>
      </c>
      <c r="B111" s="458"/>
      <c r="C111" s="458"/>
      <c r="D111" s="458"/>
      <c r="E111" s="458"/>
      <c r="F111" s="458"/>
      <c r="G111" s="458"/>
      <c r="H111" s="458"/>
      <c r="I111" s="430"/>
      <c r="J111" s="431"/>
      <c r="K111" s="431"/>
      <c r="L111" s="431"/>
      <c r="M111" s="431"/>
      <c r="N111" s="431"/>
      <c r="O111" s="431"/>
      <c r="P111" s="431"/>
    </row>
    <row r="112" spans="1:16" ht="24" customHeight="1">
      <c r="A112" s="455" t="s">
        <v>919</v>
      </c>
      <c r="B112" s="456"/>
      <c r="C112" s="456"/>
      <c r="D112" s="456"/>
      <c r="E112" s="456"/>
      <c r="F112" s="456"/>
      <c r="G112" s="456"/>
      <c r="H112" s="456"/>
      <c r="I112" s="345"/>
      <c r="J112" s="345"/>
      <c r="K112" s="345"/>
      <c r="L112" s="345"/>
      <c r="M112" s="345"/>
      <c r="N112" s="345"/>
      <c r="O112" s="345"/>
      <c r="P112" s="345"/>
    </row>
    <row r="113" spans="1:16">
      <c r="A113" s="345"/>
      <c r="B113" s="345"/>
      <c r="C113" s="345"/>
      <c r="D113" s="345"/>
      <c r="E113" s="345"/>
      <c r="F113" s="345"/>
      <c r="G113" s="345"/>
      <c r="H113" s="351" t="s">
        <v>980</v>
      </c>
      <c r="I113" s="345"/>
      <c r="J113" s="345"/>
      <c r="K113" s="345"/>
      <c r="L113" s="345"/>
      <c r="M113" s="345"/>
      <c r="N113" s="345"/>
      <c r="O113" s="345"/>
      <c r="P113" s="345"/>
    </row>
  </sheetData>
  <mergeCells count="10">
    <mergeCell ref="A54:P54"/>
    <mergeCell ref="A83:H83"/>
    <mergeCell ref="A111:H111"/>
    <mergeCell ref="A112:H112"/>
    <mergeCell ref="B5:H5"/>
    <mergeCell ref="I5:M5"/>
    <mergeCell ref="A26:P26"/>
    <mergeCell ref="A28:P28"/>
    <mergeCell ref="A30:P30"/>
    <mergeCell ref="A53:P53"/>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7" max="15" man="1"/>
    <brk id="55" max="15" man="1"/>
    <brk id="84"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B2D0-37CF-4F58-9CA9-290531D447B1}">
  <sheetPr>
    <tabColor rgb="FFC00000"/>
  </sheetPr>
  <dimension ref="A1:AO463"/>
  <sheetViews>
    <sheetView showZeros="0" view="pageBreakPreview" topLeftCell="A330" zoomScaleNormal="100" zoomScaleSheetLayoutView="100" workbookViewId="0">
      <selection activeCell="E349" sqref="E349"/>
    </sheetView>
  </sheetViews>
  <sheetFormatPr defaultRowHeight="12.75"/>
  <cols>
    <col min="1" max="1" width="10.44140625" style="298" customWidth="1"/>
    <col min="2" max="2" width="7.109375" style="298" customWidth="1"/>
    <col min="3" max="3" width="7.33203125" style="298" bestFit="1" customWidth="1"/>
    <col min="4" max="4" width="7.6640625" style="298" bestFit="1" customWidth="1"/>
    <col min="5" max="5" width="4.44140625" style="298" bestFit="1" customWidth="1"/>
    <col min="6" max="6" width="8.88671875" style="298" customWidth="1"/>
    <col min="7" max="7" width="6.109375" style="298" bestFit="1" customWidth="1"/>
    <col min="8" max="8" width="9.5546875" style="298" bestFit="1" customWidth="1"/>
    <col min="9" max="9" width="10.109375" style="364" customWidth="1"/>
    <col min="10" max="11" width="7" style="298" customWidth="1"/>
    <col min="12" max="12" width="7.77734375" style="298" bestFit="1" customWidth="1"/>
    <col min="13" max="13" width="5" style="298" bestFit="1" customWidth="1"/>
    <col min="14" max="14" width="8.77734375" style="298" customWidth="1"/>
    <col min="15" max="15" width="6.109375" style="298" bestFit="1" customWidth="1"/>
    <col min="16" max="16" width="9.5546875" style="298" bestFit="1" customWidth="1"/>
    <col min="17" max="17" width="9" style="302" bestFit="1" customWidth="1"/>
    <col min="18" max="18" width="9" style="308" bestFit="1" customWidth="1"/>
    <col min="19" max="16384" width="8.88671875" style="377"/>
  </cols>
  <sheetData>
    <row r="1" spans="1:41" ht="18">
      <c r="A1" s="293" t="s">
        <v>844</v>
      </c>
      <c r="B1" s="294"/>
      <c r="C1" s="294"/>
      <c r="D1" s="294"/>
      <c r="E1" s="294"/>
      <c r="F1" s="294"/>
      <c r="G1" s="294"/>
      <c r="H1" s="294"/>
      <c r="I1" s="293" t="s">
        <v>845</v>
      </c>
      <c r="J1" s="295"/>
      <c r="K1" s="295"/>
      <c r="L1" s="294"/>
      <c r="M1" s="295"/>
      <c r="N1" s="295"/>
      <c r="O1" s="295"/>
      <c r="P1" s="295"/>
      <c r="Q1" s="296"/>
      <c r="R1" s="297"/>
    </row>
    <row r="2" spans="1:41" ht="15">
      <c r="A2" s="299"/>
      <c r="B2" s="295"/>
      <c r="C2" s="295"/>
      <c r="D2" s="295"/>
      <c r="E2" s="295"/>
      <c r="F2" s="295"/>
      <c r="G2" s="295"/>
      <c r="H2" s="295"/>
      <c r="I2" s="299"/>
      <c r="J2" s="295"/>
      <c r="K2" s="295"/>
      <c r="L2" s="295"/>
      <c r="M2" s="295"/>
      <c r="N2" s="295"/>
      <c r="O2" s="295"/>
      <c r="P2" s="295"/>
      <c r="Q2" s="463"/>
      <c r="R2" s="464"/>
      <c r="S2" s="464"/>
      <c r="T2" s="464"/>
      <c r="U2" s="464"/>
      <c r="V2" s="464"/>
      <c r="W2" s="464"/>
      <c r="X2" s="464"/>
    </row>
    <row r="3" spans="1:41" ht="15.75">
      <c r="A3" s="301" t="s">
        <v>846</v>
      </c>
      <c r="B3" s="295"/>
      <c r="C3" s="295"/>
      <c r="D3" s="295"/>
      <c r="E3" s="295"/>
      <c r="F3" s="295"/>
      <c r="G3" s="295"/>
      <c r="H3" s="295"/>
      <c r="I3" s="301" t="s">
        <v>847</v>
      </c>
      <c r="J3" s="295"/>
      <c r="K3" s="295"/>
      <c r="L3" s="295"/>
      <c r="M3" s="295"/>
      <c r="N3" s="295"/>
      <c r="O3" s="295"/>
      <c r="P3" s="295"/>
      <c r="R3" s="303" t="s">
        <v>740</v>
      </c>
    </row>
    <row r="4" spans="1:41" ht="15.75">
      <c r="A4" s="301" t="s">
        <v>981</v>
      </c>
      <c r="B4" s="295"/>
      <c r="C4" s="295"/>
      <c r="D4" s="295"/>
      <c r="E4" s="295"/>
      <c r="F4" s="295"/>
      <c r="G4" s="295"/>
      <c r="H4" s="295"/>
      <c r="I4" s="301" t="s">
        <v>981</v>
      </c>
      <c r="J4" s="295"/>
      <c r="K4" s="295"/>
      <c r="L4" s="295"/>
      <c r="M4" s="295"/>
      <c r="N4" s="295"/>
      <c r="O4" s="295"/>
      <c r="P4" s="295"/>
      <c r="R4" s="303" t="s">
        <v>740</v>
      </c>
    </row>
    <row r="5" spans="1:41">
      <c r="A5" s="304"/>
      <c r="B5" s="305"/>
      <c r="C5" s="305"/>
      <c r="D5" s="305"/>
      <c r="E5" s="305"/>
      <c r="F5" s="305"/>
      <c r="G5" s="305"/>
      <c r="H5" s="305"/>
      <c r="I5" s="306"/>
      <c r="L5" s="307"/>
      <c r="P5" s="304"/>
    </row>
    <row r="6" spans="1:41" s="314" customFormat="1" ht="12">
      <c r="A6" s="309"/>
      <c r="B6" s="310" t="s">
        <v>848</v>
      </c>
      <c r="C6" s="310"/>
      <c r="D6" s="310"/>
      <c r="E6" s="310"/>
      <c r="F6" s="310"/>
      <c r="G6" s="310"/>
      <c r="H6" s="311"/>
      <c r="I6" s="309"/>
      <c r="J6" s="310" t="s">
        <v>848</v>
      </c>
      <c r="K6" s="310"/>
      <c r="L6" s="310"/>
      <c r="M6" s="310"/>
      <c r="N6" s="310"/>
      <c r="O6" s="310"/>
      <c r="P6" s="311"/>
      <c r="Q6" s="378"/>
      <c r="R6" s="379"/>
    </row>
    <row r="7" spans="1:41" s="314" customFormat="1" ht="12">
      <c r="A7" s="309"/>
      <c r="B7" s="310" t="s">
        <v>849</v>
      </c>
      <c r="C7" s="310"/>
      <c r="D7" s="450" t="s">
        <v>850</v>
      </c>
      <c r="E7" s="448"/>
      <c r="F7" s="448"/>
      <c r="G7" s="448"/>
      <c r="H7" s="317" t="s">
        <v>740</v>
      </c>
      <c r="I7" s="309"/>
      <c r="J7" s="310" t="s">
        <v>849</v>
      </c>
      <c r="K7" s="310"/>
      <c r="L7" s="450" t="s">
        <v>850</v>
      </c>
      <c r="M7" s="448"/>
      <c r="N7" s="448"/>
      <c r="O7" s="448"/>
      <c r="P7" s="317" t="s">
        <v>740</v>
      </c>
      <c r="Q7" s="378"/>
      <c r="R7" s="379"/>
    </row>
    <row r="8" spans="1:41" s="314" customFormat="1" ht="40.5" customHeight="1">
      <c r="A8" s="309"/>
      <c r="B8" s="318" t="s">
        <v>851</v>
      </c>
      <c r="C8" s="319" t="s">
        <v>852</v>
      </c>
      <c r="D8" s="320" t="s">
        <v>853</v>
      </c>
      <c r="E8" s="321" t="s">
        <v>8</v>
      </c>
      <c r="F8" s="318" t="s">
        <v>854</v>
      </c>
      <c r="G8" s="322" t="s">
        <v>855</v>
      </c>
      <c r="H8" s="323" t="s">
        <v>856</v>
      </c>
      <c r="I8" s="309"/>
      <c r="J8" s="318" t="s">
        <v>851</v>
      </c>
      <c r="K8" s="319" t="s">
        <v>852</v>
      </c>
      <c r="L8" s="320" t="s">
        <v>853</v>
      </c>
      <c r="M8" s="321" t="s">
        <v>8</v>
      </c>
      <c r="N8" s="318" t="s">
        <v>854</v>
      </c>
      <c r="O8" s="322" t="s">
        <v>855</v>
      </c>
      <c r="P8" s="323" t="s">
        <v>856</v>
      </c>
      <c r="Q8" s="352" t="s">
        <v>857</v>
      </c>
      <c r="R8" s="352" t="s">
        <v>857</v>
      </c>
      <c r="T8" s="352"/>
    </row>
    <row r="9" spans="1:41" ht="15.75" customHeight="1">
      <c r="A9" s="326" t="s">
        <v>825</v>
      </c>
      <c r="B9" s="380">
        <f>('Pivot Table for Data Exchange'!$J$7)*100</f>
        <v>82.788968098718556</v>
      </c>
      <c r="C9" s="327">
        <f>('Pivot Table for Data Exchange'!$J$10)*100</f>
        <v>0.49157383838466506</v>
      </c>
      <c r="D9" s="328">
        <f>SUM(E9:G9)</f>
        <v>16.719458062896788</v>
      </c>
      <c r="E9" s="327">
        <f>('Pivot Table for Data Exchange'!$J$13)*100</f>
        <v>16.420634206096519</v>
      </c>
      <c r="F9" s="327">
        <f>('Pivot Table for Data Exchange'!$J$16)*100</f>
        <v>4.1523775225966279E-2</v>
      </c>
      <c r="G9" s="360">
        <f>('Pivot Table for Data Exchange'!$J$19)*100</f>
        <v>0.25730008157430218</v>
      </c>
      <c r="H9" s="327">
        <f>('Pivot Table for Data Exchange'!$J$22)*100</f>
        <v>0</v>
      </c>
      <c r="I9" s="353" t="s">
        <v>825</v>
      </c>
      <c r="J9" s="327">
        <f>('Pivot Table for Data Exchange'!$J$25)*100</f>
        <v>57.143942754801927</v>
      </c>
      <c r="K9" s="327">
        <f>('Pivot Table for Data Exchange'!$J$28)*100</f>
        <v>1.792404002563218</v>
      </c>
      <c r="L9" s="328">
        <f>SUM(M9:O9)</f>
        <v>41.063653242634857</v>
      </c>
      <c r="M9" s="327">
        <f>('Pivot Table for Data Exchange'!$J$31)*100</f>
        <v>40.686564466571369</v>
      </c>
      <c r="N9" s="327">
        <f>('Pivot Table for Data Exchange'!$J$34)*100</f>
        <v>8.7494454576822603E-2</v>
      </c>
      <c r="O9" s="360">
        <f>('Pivot Table for Data Exchange'!$J$37)*100</f>
        <v>0.28959432148666631</v>
      </c>
      <c r="P9" s="327">
        <f>('Pivot Table for Data Exchange'!$J$40)*100</f>
        <v>0</v>
      </c>
      <c r="Q9" s="332">
        <f>SUM(B9,C9,D9,H9)</f>
        <v>100.00000000000001</v>
      </c>
      <c r="R9" s="332">
        <f>SUM(J9,K9,L9,P9)</f>
        <v>100</v>
      </c>
      <c r="S9" s="381"/>
      <c r="T9" s="382"/>
      <c r="U9" s="382"/>
      <c r="V9" s="382"/>
      <c r="W9" s="382"/>
      <c r="X9" s="382"/>
      <c r="Y9" s="382"/>
      <c r="Z9" s="382"/>
      <c r="AA9" s="382"/>
      <c r="AB9" s="382"/>
      <c r="AC9" s="382"/>
      <c r="AD9" s="382"/>
      <c r="AE9" s="382"/>
      <c r="AF9" s="381"/>
      <c r="AG9" s="381"/>
      <c r="AH9" s="381"/>
      <c r="AI9" s="381"/>
      <c r="AJ9" s="381"/>
      <c r="AK9" s="381"/>
      <c r="AL9" s="381"/>
      <c r="AM9" s="381"/>
      <c r="AN9" s="381"/>
      <c r="AO9" s="381"/>
    </row>
    <row r="10" spans="1:41" ht="15.75" customHeight="1">
      <c r="A10" s="298" t="s">
        <v>826</v>
      </c>
      <c r="B10" s="327">
        <f>('Pivot Table for Data Exchange'!$J$43)*100</f>
        <v>75.675035017778256</v>
      </c>
      <c r="C10" s="327">
        <f>('Pivot Table for Data Exchange'!$J$46)*100</f>
        <v>4.6858237727381322</v>
      </c>
      <c r="D10" s="328">
        <f t="shared" ref="D10:D15" si="0">SUM(E10:G10)</f>
        <v>19.404159034586794</v>
      </c>
      <c r="E10" s="327">
        <f>('Pivot Table for Data Exchange'!$J$49)*100</f>
        <v>19.177140769126268</v>
      </c>
      <c r="F10" s="327">
        <f>('Pivot Table for Data Exchange'!$J$52)*100</f>
        <v>0.13416845073853548</v>
      </c>
      <c r="G10" s="335">
        <f>('Pivot Table for Data Exchange'!$J$55)*100</f>
        <v>9.2849814721989291E-2</v>
      </c>
      <c r="H10" s="327">
        <f>('Pivot Table for Data Exchange'!$J$58)*100</f>
        <v>0.23498217489682055</v>
      </c>
      <c r="I10" s="298" t="s">
        <v>826</v>
      </c>
      <c r="J10" s="327">
        <f>('Pivot Table for Data Exchange'!$J$61)*100</f>
        <v>44.341430872614261</v>
      </c>
      <c r="K10" s="327">
        <f>('Pivot Table for Data Exchange'!$J$64)*100</f>
        <v>1.2889894075725281</v>
      </c>
      <c r="L10" s="328">
        <f t="shared" ref="L10:L15" si="1">SUM(M10:O10)</f>
        <v>54.298963536666726</v>
      </c>
      <c r="M10" s="327">
        <f>('Pivot Table for Data Exchange'!$J$67)*100</f>
        <v>52.674791324297502</v>
      </c>
      <c r="N10" s="327">
        <f>('Pivot Table for Data Exchange'!$J$70)*100</f>
        <v>1.3924730308010218</v>
      </c>
      <c r="O10" s="335">
        <f>('Pivot Table for Data Exchange'!$J$73)*100</f>
        <v>0.23169918156819994</v>
      </c>
      <c r="P10" s="336">
        <f>('Pivot Table for Data Exchange'!$J$76)*100</f>
        <v>7.0616183146487904E-2</v>
      </c>
      <c r="Q10" s="332">
        <f>SUM(B10,C10,D10,H10)</f>
        <v>100</v>
      </c>
      <c r="R10" s="332">
        <f t="shared" ref="R10:R23" si="2">SUM(J10,K10,L10,P10)</f>
        <v>100</v>
      </c>
      <c r="S10" s="381"/>
      <c r="T10" s="382"/>
      <c r="U10" s="382"/>
      <c r="V10" s="382"/>
      <c r="W10" s="382"/>
      <c r="X10" s="382"/>
      <c r="Y10" s="382"/>
      <c r="Z10" s="382"/>
      <c r="AA10" s="382"/>
      <c r="AB10" s="382"/>
      <c r="AC10" s="382"/>
      <c r="AD10" s="382"/>
      <c r="AE10" s="382"/>
      <c r="AF10" s="381"/>
      <c r="AG10" s="381"/>
      <c r="AH10" s="381"/>
      <c r="AI10" s="381"/>
      <c r="AJ10" s="381"/>
      <c r="AK10" s="381"/>
      <c r="AL10" s="381"/>
      <c r="AM10" s="381"/>
      <c r="AN10" s="381"/>
      <c r="AO10" s="381"/>
    </row>
    <row r="11" spans="1:41" ht="15.75" customHeight="1">
      <c r="A11" s="298" t="s">
        <v>827</v>
      </c>
      <c r="B11" s="327">
        <f>('Pivot Table for Data Exchange'!$J$79)*100</f>
        <v>95.422069475442612</v>
      </c>
      <c r="C11" s="327">
        <f>('Pivot Table for Data Exchange'!$J$82)*100</f>
        <v>0</v>
      </c>
      <c r="D11" s="328">
        <f t="shared" si="0"/>
        <v>4.5779305245573925</v>
      </c>
      <c r="E11" s="327">
        <f>('Pivot Table for Data Exchange'!$J$85)*100</f>
        <v>4.5779305245573925</v>
      </c>
      <c r="F11" s="327">
        <f>('Pivot Table for Data Exchange'!$J$88)*100</f>
        <v>0</v>
      </c>
      <c r="G11" s="335">
        <f>('Pivot Table for Data Exchange'!$J$91)*100</f>
        <v>0</v>
      </c>
      <c r="H11" s="327">
        <f>('Pivot Table for Data Exchange'!$J$94)*100</f>
        <v>0</v>
      </c>
      <c r="I11" s="298" t="s">
        <v>827</v>
      </c>
      <c r="J11" s="327">
        <f>('Pivot Table for Data Exchange'!$J$97)*100</f>
        <v>85.765194524318616</v>
      </c>
      <c r="K11" s="327">
        <f>('Pivot Table for Data Exchange'!$J$100)*100</f>
        <v>0</v>
      </c>
      <c r="L11" s="328">
        <f t="shared" si="1"/>
        <v>14.234805475681389</v>
      </c>
      <c r="M11" s="327">
        <f>('Pivot Table for Data Exchange'!$J$103)*100</f>
        <v>14.234805475681389</v>
      </c>
      <c r="N11" s="327">
        <f>('Pivot Table for Data Exchange'!$J$106)*100</f>
        <v>0</v>
      </c>
      <c r="O11" s="335">
        <f>('Pivot Table for Data Exchange'!$J$109)*100</f>
        <v>0</v>
      </c>
      <c r="P11" s="327">
        <f>('Pivot Table for Data Exchange'!$J$112)*100</f>
        <v>0</v>
      </c>
      <c r="Q11" s="332">
        <f t="shared" ref="Q11:Q23" si="3">SUM(B11,C11,D11,H11)</f>
        <v>100</v>
      </c>
      <c r="R11" s="332">
        <f t="shared" si="2"/>
        <v>100</v>
      </c>
      <c r="S11" s="381"/>
      <c r="T11" s="382"/>
      <c r="U11" s="382"/>
      <c r="V11" s="382"/>
      <c r="W11" s="382"/>
      <c r="X11" s="382"/>
      <c r="Y11" s="382"/>
      <c r="Z11" s="382"/>
      <c r="AA11" s="382"/>
      <c r="AB11" s="382"/>
      <c r="AC11" s="382"/>
      <c r="AD11" s="382"/>
      <c r="AE11" s="382"/>
      <c r="AF11" s="381"/>
      <c r="AG11" s="381"/>
      <c r="AH11" s="381"/>
      <c r="AI11" s="381"/>
      <c r="AJ11" s="381"/>
      <c r="AK11" s="381"/>
      <c r="AL11" s="381"/>
      <c r="AM11" s="381"/>
      <c r="AN11" s="381"/>
      <c r="AO11" s="381"/>
    </row>
    <row r="12" spans="1:41" ht="15.75" customHeight="1">
      <c r="A12" s="298" t="s">
        <v>858</v>
      </c>
      <c r="B12" s="327">
        <f>('Pivot Table for Data Exchange'!$J$115)*100</f>
        <v>0</v>
      </c>
      <c r="C12" s="327">
        <f>('Pivot Table for Data Exchange'!$J$118)*100</f>
        <v>0</v>
      </c>
      <c r="D12" s="328">
        <f t="shared" si="0"/>
        <v>0</v>
      </c>
      <c r="E12" s="327">
        <f>('Pivot Table for Data Exchange'!$J$121)*100</f>
        <v>0</v>
      </c>
      <c r="F12" s="327">
        <f>('Pivot Table for Data Exchange'!$J$124)*100</f>
        <v>0</v>
      </c>
      <c r="G12" s="335">
        <f>('Pivot Table for Data Exchange'!$J$127)*100</f>
        <v>0</v>
      </c>
      <c r="H12" s="327">
        <f>('Pivot Table for Data Exchange'!$J$130)*100</f>
        <v>0</v>
      </c>
      <c r="I12" s="298" t="s">
        <v>858</v>
      </c>
      <c r="J12" s="327">
        <f>('Pivot Table for Data Exchange'!$J$133)*100</f>
        <v>0</v>
      </c>
      <c r="K12" s="327">
        <f>('Pivot Table for Data Exchange'!$J$136)*100</f>
        <v>0</v>
      </c>
      <c r="L12" s="328">
        <f t="shared" si="1"/>
        <v>0</v>
      </c>
      <c r="M12" s="327">
        <f>('Pivot Table for Data Exchange'!$J$139)*100</f>
        <v>0</v>
      </c>
      <c r="N12" s="327">
        <f>('Pivot Table for Data Exchange'!$J$142)*100</f>
        <v>0</v>
      </c>
      <c r="O12" s="334">
        <f>('Pivot Table for Data Exchange'!$J$145)*100</f>
        <v>0</v>
      </c>
      <c r="P12" s="339">
        <f>('Pivot Table for Data Exchange'!$J$148)*100</f>
        <v>0</v>
      </c>
      <c r="Q12" s="332">
        <f t="shared" si="3"/>
        <v>0</v>
      </c>
      <c r="R12" s="332">
        <f t="shared" si="2"/>
        <v>0</v>
      </c>
      <c r="S12" s="381"/>
      <c r="T12" s="382"/>
      <c r="U12" s="382"/>
      <c r="V12" s="382"/>
      <c r="W12" s="382"/>
      <c r="X12" s="382"/>
      <c r="Y12" s="382"/>
      <c r="Z12" s="382"/>
      <c r="AA12" s="382"/>
      <c r="AB12" s="382"/>
      <c r="AC12" s="382"/>
      <c r="AD12" s="382"/>
      <c r="AE12" s="382"/>
      <c r="AF12" s="381"/>
      <c r="AG12" s="381"/>
      <c r="AH12" s="381"/>
      <c r="AI12" s="381"/>
      <c r="AJ12" s="381"/>
      <c r="AK12" s="381"/>
      <c r="AL12" s="381"/>
      <c r="AM12" s="381"/>
      <c r="AN12" s="381"/>
      <c r="AO12" s="381"/>
    </row>
    <row r="13" spans="1:41" ht="9.75" customHeight="1">
      <c r="B13" s="327"/>
      <c r="C13" s="327"/>
      <c r="D13" s="328"/>
      <c r="E13" s="327"/>
      <c r="F13" s="327"/>
      <c r="G13" s="335"/>
      <c r="H13" s="327"/>
      <c r="I13" s="298"/>
      <c r="J13" s="327"/>
      <c r="K13" s="327"/>
      <c r="L13" s="328"/>
      <c r="M13" s="327"/>
      <c r="N13" s="327"/>
      <c r="O13" s="335"/>
      <c r="P13" s="327"/>
      <c r="Q13" s="332">
        <f t="shared" si="3"/>
        <v>0</v>
      </c>
      <c r="R13" s="332">
        <f t="shared" si="2"/>
        <v>0</v>
      </c>
      <c r="S13" s="381"/>
      <c r="T13" s="382"/>
      <c r="U13" s="382"/>
      <c r="V13" s="382"/>
      <c r="W13" s="382"/>
      <c r="X13" s="382"/>
      <c r="Y13" s="382"/>
      <c r="Z13" s="382"/>
      <c r="AA13" s="382"/>
      <c r="AB13" s="382"/>
      <c r="AC13" s="382"/>
      <c r="AD13" s="382"/>
      <c r="AE13" s="382"/>
      <c r="AF13" s="381"/>
      <c r="AG13" s="381"/>
      <c r="AH13" s="381"/>
      <c r="AI13" s="381"/>
      <c r="AJ13" s="381"/>
      <c r="AK13" s="381"/>
      <c r="AL13" s="381"/>
      <c r="AM13" s="381"/>
      <c r="AN13" s="381"/>
      <c r="AO13" s="381"/>
    </row>
    <row r="14" spans="1:41" ht="15.75" customHeight="1">
      <c r="A14" s="298" t="s">
        <v>829</v>
      </c>
      <c r="B14" s="327">
        <f>('Pivot Table for Data Exchange'!$J$151)*100</f>
        <v>80.755936818092195</v>
      </c>
      <c r="C14" s="327">
        <f>('Pivot Table for Data Exchange'!$J$154)*100</f>
        <v>1.5529344691402178</v>
      </c>
      <c r="D14" s="328">
        <f t="shared" si="0"/>
        <v>17.691128712767576</v>
      </c>
      <c r="E14" s="327">
        <f>('Pivot Table for Data Exchange'!$J$157)*100</f>
        <v>17.644202046532367</v>
      </c>
      <c r="F14" s="339">
        <f>('Pivot Table for Data Exchange'!$J$160)*100</f>
        <v>2.5827623061852743E-2</v>
      </c>
      <c r="G14" s="335">
        <f>('Pivot Table for Data Exchange'!$J$163)*100</f>
        <v>2.1099043173355949E-2</v>
      </c>
      <c r="H14" s="339">
        <f>('Pivot Table for Data Exchange'!$J$166)*100</f>
        <v>0</v>
      </c>
      <c r="I14" s="298" t="s">
        <v>829</v>
      </c>
      <c r="J14" s="327">
        <f>('Pivot Table for Data Exchange'!$J$169)*100</f>
        <v>65.018995243509607</v>
      </c>
      <c r="K14" s="327">
        <f>('Pivot Table for Data Exchange'!$J$172)*100</f>
        <v>11.134863562681975</v>
      </c>
      <c r="L14" s="328">
        <f t="shared" si="1"/>
        <v>23.846141193808418</v>
      </c>
      <c r="M14" s="327">
        <f>('Pivot Table for Data Exchange'!$J$175)*100</f>
        <v>23.840508300293912</v>
      </c>
      <c r="N14" s="336">
        <f>('Pivot Table for Data Exchange'!$J$178)*100</f>
        <v>1.1265787029008426E-3</v>
      </c>
      <c r="O14" s="335">
        <f>('Pivot Table for Data Exchange'!$J$181)*100</f>
        <v>4.5063148116033704E-3</v>
      </c>
      <c r="P14" s="336">
        <f>('Pivot Table for Data Exchange'!$J$184)*100</f>
        <v>0</v>
      </c>
      <c r="Q14" s="332">
        <f t="shared" si="3"/>
        <v>99.999999999999986</v>
      </c>
      <c r="R14" s="332">
        <f>SUM(J14,K14,L14,P14)</f>
        <v>100</v>
      </c>
      <c r="S14" s="381"/>
      <c r="T14" s="382"/>
      <c r="U14" s="382"/>
      <c r="V14" s="382"/>
      <c r="W14" s="382"/>
      <c r="X14" s="382"/>
      <c r="Y14" s="382"/>
      <c r="Z14" s="382"/>
      <c r="AA14" s="382"/>
      <c r="AB14" s="382"/>
      <c r="AC14" s="382"/>
      <c r="AD14" s="382"/>
      <c r="AE14" s="382"/>
      <c r="AF14" s="381"/>
      <c r="AG14" s="381"/>
      <c r="AH14" s="381"/>
      <c r="AI14" s="381"/>
      <c r="AJ14" s="381"/>
      <c r="AK14" s="381"/>
      <c r="AL14" s="381"/>
      <c r="AM14" s="381"/>
      <c r="AN14" s="381"/>
      <c r="AO14" s="381"/>
    </row>
    <row r="15" spans="1:41" ht="15.75" customHeight="1">
      <c r="A15" s="298" t="s">
        <v>830</v>
      </c>
      <c r="B15" s="327">
        <f>('Pivot Table for Data Exchange'!$J$187)*100</f>
        <v>78.118775184404427</v>
      </c>
      <c r="C15" s="327">
        <f>('Pivot Table for Data Exchange'!$J$190)*100</f>
        <v>4.4307961693500495</v>
      </c>
      <c r="D15" s="328">
        <f t="shared" si="0"/>
        <v>17.450428646245534</v>
      </c>
      <c r="E15" s="327">
        <f>('Pivot Table for Data Exchange'!$J$193)*100</f>
        <v>16.578657538099691</v>
      </c>
      <c r="F15" s="327">
        <f>('Pivot Table for Data Exchange'!$J$196)*100</f>
        <v>0.82471560263284605</v>
      </c>
      <c r="G15" s="334">
        <f>('Pivot Table for Data Exchange'!$J$199)*100</f>
        <v>4.7055505512997385E-2</v>
      </c>
      <c r="H15" s="327">
        <f>('Pivot Table for Data Exchange'!$J$202)*100</f>
        <v>0</v>
      </c>
      <c r="I15" s="298" t="s">
        <v>830</v>
      </c>
      <c r="J15" s="327">
        <f>('Pivot Table for Data Exchange'!$J$205)*100</f>
        <v>58.0734732080181</v>
      </c>
      <c r="K15" s="327">
        <f>('Pivot Table for Data Exchange'!$J$208)*100</f>
        <v>3.5092426487793462</v>
      </c>
      <c r="L15" s="328">
        <f t="shared" si="1"/>
        <v>38.417284143202551</v>
      </c>
      <c r="M15" s="327">
        <f>('Pivot Table for Data Exchange'!$J$211)*100</f>
        <v>38.01045160283909</v>
      </c>
      <c r="N15" s="327">
        <f>('Pivot Table for Data Exchange'!$J$214)*100</f>
        <v>0.315732002183917</v>
      </c>
      <c r="O15" s="334">
        <f>('Pivot Table for Data Exchange'!$J$217)*100</f>
        <v>9.1100538179549176E-2</v>
      </c>
      <c r="P15" s="327">
        <f>('Pivot Table for Data Exchange'!$J$220)*100</f>
        <v>0</v>
      </c>
      <c r="Q15" s="332">
        <f t="shared" si="3"/>
        <v>100</v>
      </c>
      <c r="R15" s="332">
        <f t="shared" si="2"/>
        <v>100</v>
      </c>
      <c r="S15" s="381"/>
      <c r="T15" s="382"/>
      <c r="U15" s="382"/>
      <c r="V15" s="382"/>
      <c r="W15" s="382"/>
      <c r="X15" s="382"/>
      <c r="Y15" s="382"/>
      <c r="Z15" s="382"/>
      <c r="AA15" s="382"/>
      <c r="AB15" s="382"/>
      <c r="AC15" s="382"/>
      <c r="AD15" s="382"/>
      <c r="AE15" s="382"/>
      <c r="AF15" s="381"/>
      <c r="AG15" s="381"/>
      <c r="AH15" s="381"/>
      <c r="AI15" s="381"/>
      <c r="AJ15" s="381"/>
      <c r="AK15" s="381"/>
      <c r="AL15" s="381"/>
      <c r="AM15" s="381"/>
      <c r="AN15" s="381"/>
      <c r="AO15" s="381"/>
    </row>
    <row r="16" spans="1:41" ht="15.75" customHeight="1">
      <c r="A16" s="298" t="s">
        <v>831</v>
      </c>
      <c r="B16" s="327">
        <f>('Pivot Table for Data Exchange'!$J$223)*100</f>
        <v>84.046850485491746</v>
      </c>
      <c r="C16" s="327">
        <f>('Pivot Table for Data Exchange'!$J$226)*100</f>
        <v>0</v>
      </c>
      <c r="D16" s="328">
        <f>SUM(E16:G16)</f>
        <v>15.953149514508253</v>
      </c>
      <c r="E16" s="327">
        <f>('Pivot Table for Data Exchange'!$J$229)*100</f>
        <v>15.953149514508253</v>
      </c>
      <c r="F16" s="327">
        <f>('Pivot Table for Data Exchange'!$J$232)*100</f>
        <v>0</v>
      </c>
      <c r="G16" s="335">
        <f>('Pivot Table for Data Exchange'!$J$235)*100</f>
        <v>0</v>
      </c>
      <c r="H16" s="327">
        <f>('Pivot Table for Data Exchange'!$J$238)*100</f>
        <v>0</v>
      </c>
      <c r="I16" s="298" t="s">
        <v>831</v>
      </c>
      <c r="J16" s="327">
        <f>('Pivot Table for Data Exchange'!$J$241)*100</f>
        <v>71.341496193527561</v>
      </c>
      <c r="K16" s="327">
        <f>('Pivot Table for Data Exchange'!$J$244)*100</f>
        <v>0</v>
      </c>
      <c r="L16" s="328">
        <f>SUM(M16:O16)</f>
        <v>28.658503806472414</v>
      </c>
      <c r="M16" s="327">
        <f>('Pivot Table for Data Exchange'!$J$247)*100</f>
        <v>28.658503806472414</v>
      </c>
      <c r="N16" s="327">
        <f>('Pivot Table for Data Exchange'!$J$250)*100</f>
        <v>0</v>
      </c>
      <c r="O16" s="335">
        <f>('Pivot Table for Data Exchange'!$J$253)*100</f>
        <v>0</v>
      </c>
      <c r="P16" s="327">
        <f>('Pivot Table for Data Exchange'!$J$256)*100</f>
        <v>0</v>
      </c>
      <c r="Q16" s="332">
        <f>SUM(B16,C16,D16,H16)</f>
        <v>100</v>
      </c>
      <c r="R16" s="332">
        <f>SUM(J16,K16,L16,P16)</f>
        <v>99.999999999999972</v>
      </c>
      <c r="S16" s="381"/>
      <c r="T16" s="382"/>
      <c r="U16" s="382"/>
      <c r="V16" s="382"/>
      <c r="W16" s="382"/>
      <c r="X16" s="382"/>
      <c r="Y16" s="382"/>
      <c r="Z16" s="382"/>
      <c r="AA16" s="382"/>
      <c r="AB16" s="382"/>
      <c r="AC16" s="382"/>
      <c r="AD16" s="382"/>
      <c r="AE16" s="382"/>
      <c r="AF16" s="381"/>
      <c r="AG16" s="381"/>
      <c r="AH16" s="381"/>
      <c r="AI16" s="381"/>
      <c r="AJ16" s="381"/>
      <c r="AK16" s="381"/>
      <c r="AL16" s="381"/>
      <c r="AM16" s="381"/>
      <c r="AN16" s="381"/>
      <c r="AO16" s="381"/>
    </row>
    <row r="17" spans="1:41" ht="15.75" customHeight="1">
      <c r="A17" s="298" t="s">
        <v>832</v>
      </c>
      <c r="B17" s="327">
        <f>('Pivot Table for Data Exchange'!$J$259)*100</f>
        <v>66.938852658013289</v>
      </c>
      <c r="C17" s="327">
        <f>('Pivot Table for Data Exchange'!$J$262)*100</f>
        <v>2.6181659546404963</v>
      </c>
      <c r="D17" s="328">
        <f>SUM(E17:G17)</f>
        <v>30.442981387346215</v>
      </c>
      <c r="E17" s="327">
        <f>('Pivot Table for Data Exchange'!$J$265)*100</f>
        <v>30.222798583786481</v>
      </c>
      <c r="F17" s="327">
        <f>('Pivot Table for Data Exchange'!$J$268)*100</f>
        <v>0.22018280355973321</v>
      </c>
      <c r="G17" s="335">
        <f>('Pivot Table for Data Exchange'!$J$271)*100</f>
        <v>0</v>
      </c>
      <c r="H17" s="383">
        <f>('Pivot Table for Data Exchange'!$J$274)*100</f>
        <v>0</v>
      </c>
      <c r="I17" s="298" t="s">
        <v>832</v>
      </c>
      <c r="J17" s="327">
        <f>('Pivot Table for Data Exchange'!$J$277)*100</f>
        <v>45.942735817843818</v>
      </c>
      <c r="K17" s="327">
        <f>('Pivot Table for Data Exchange'!$J$280)*100</f>
        <v>6.2439650610257784</v>
      </c>
      <c r="L17" s="328">
        <f>SUM(M17:O17)</f>
        <v>47.813299121130399</v>
      </c>
      <c r="M17" s="327">
        <f>('Pivot Table for Data Exchange'!$J$283)*100</f>
        <v>47.140797655289838</v>
      </c>
      <c r="N17" s="327">
        <f>('Pivot Table for Data Exchange'!$J$286)*100</f>
        <v>0.67250146584055936</v>
      </c>
      <c r="O17" s="335">
        <f>('Pivot Table for Data Exchange'!$J$289)*100</f>
        <v>0</v>
      </c>
      <c r="P17" s="327">
        <f>('Pivot Table for Data Exchange'!$J$292)*100</f>
        <v>0</v>
      </c>
      <c r="Q17" s="332">
        <f>SUM(B17,C17,D17,H17)</f>
        <v>100</v>
      </c>
      <c r="R17" s="332">
        <f>SUM(J17,K17,L17,P17)</f>
        <v>100</v>
      </c>
      <c r="S17" s="381"/>
      <c r="T17" s="382"/>
      <c r="U17" s="382"/>
      <c r="V17" s="382"/>
      <c r="W17" s="382"/>
      <c r="X17" s="382"/>
      <c r="Y17" s="382"/>
      <c r="Z17" s="382"/>
      <c r="AA17" s="382"/>
      <c r="AB17" s="382"/>
      <c r="AC17" s="382"/>
      <c r="AD17" s="382"/>
      <c r="AE17" s="382"/>
      <c r="AF17" s="381"/>
      <c r="AG17" s="381"/>
      <c r="AH17" s="381"/>
      <c r="AI17" s="381"/>
      <c r="AJ17" s="381"/>
      <c r="AK17" s="381"/>
      <c r="AL17" s="381"/>
      <c r="AM17" s="381"/>
      <c r="AN17" s="381"/>
      <c r="AO17" s="381"/>
    </row>
    <row r="18" spans="1:41" ht="11.25" customHeight="1">
      <c r="B18" s="327"/>
      <c r="C18" s="327"/>
      <c r="D18" s="328"/>
      <c r="E18" s="327"/>
      <c r="F18" s="327"/>
      <c r="G18" s="335"/>
      <c r="H18" s="327"/>
      <c r="I18" s="298"/>
      <c r="J18" s="327"/>
      <c r="K18" s="327"/>
      <c r="L18" s="328"/>
      <c r="M18" s="327"/>
      <c r="N18" s="327"/>
      <c r="O18" s="335"/>
      <c r="P18" s="327"/>
      <c r="Q18" s="332">
        <f t="shared" si="3"/>
        <v>0</v>
      </c>
      <c r="R18" s="332">
        <f t="shared" si="2"/>
        <v>0</v>
      </c>
      <c r="S18" s="381"/>
      <c r="T18" s="382"/>
      <c r="U18" s="382"/>
      <c r="V18" s="382"/>
      <c r="W18" s="382"/>
      <c r="X18" s="382"/>
      <c r="Y18" s="382"/>
      <c r="Z18" s="382"/>
      <c r="AA18" s="382"/>
      <c r="AB18" s="382"/>
      <c r="AC18" s="382"/>
      <c r="AD18" s="382"/>
      <c r="AE18" s="382"/>
      <c r="AF18" s="381"/>
      <c r="AG18" s="381"/>
      <c r="AH18" s="381"/>
      <c r="AI18" s="381"/>
      <c r="AJ18" s="381"/>
      <c r="AK18" s="381"/>
      <c r="AL18" s="381"/>
      <c r="AM18" s="381"/>
      <c r="AN18" s="381"/>
      <c r="AO18" s="381"/>
    </row>
    <row r="19" spans="1:41" ht="15.75" customHeight="1">
      <c r="A19" s="298" t="s">
        <v>833</v>
      </c>
      <c r="B19" s="327">
        <f>('Pivot Table for Data Exchange'!$J$295)*100</f>
        <v>76.687872402306397</v>
      </c>
      <c r="C19" s="327">
        <f>('Pivot Table for Data Exchange'!$J$298)*100</f>
        <v>4.2349122668549377</v>
      </c>
      <c r="D19" s="328">
        <f>SUM(E19:G19)</f>
        <v>18.791402811309673</v>
      </c>
      <c r="E19" s="327">
        <f>('Pivot Table for Data Exchange'!$J$301)*100</f>
        <v>18.043381658912732</v>
      </c>
      <c r="F19" s="327">
        <f>('Pivot Table for Data Exchange'!$J$304)*100</f>
        <v>0.74704808159090585</v>
      </c>
      <c r="G19" s="338">
        <f>('Pivot Table for Data Exchange'!$J$307)*100</f>
        <v>9.7307080603779622E-4</v>
      </c>
      <c r="H19" s="327">
        <f>('Pivot Table for Data Exchange'!$J$310)*100</f>
        <v>0.28581251952899051</v>
      </c>
      <c r="I19" s="298" t="s">
        <v>833</v>
      </c>
      <c r="J19" s="327">
        <f>('Pivot Table for Data Exchange'!$J$313)*100</f>
        <v>59.360832037389024</v>
      </c>
      <c r="K19" s="327">
        <f>('Pivot Table for Data Exchange'!$J$316)*100</f>
        <v>5.1858343001489313</v>
      </c>
      <c r="L19" s="328">
        <f>SUM(M19:O19)</f>
        <v>35.396970370187518</v>
      </c>
      <c r="M19" s="327">
        <f>('Pivot Table for Data Exchange'!$J$319)*100</f>
        <v>34.617346728871993</v>
      </c>
      <c r="N19" s="327">
        <f>('Pivot Table for Data Exchange'!$J$322)*100</f>
        <v>0.76851554721762816</v>
      </c>
      <c r="O19" s="334">
        <f>('Pivot Table for Data Exchange'!$J$325)*100</f>
        <v>1.1108094097899337E-2</v>
      </c>
      <c r="P19" s="339">
        <f>('Pivot Table for Data Exchange'!$J$328)*100</f>
        <v>5.6363292274526258E-2</v>
      </c>
      <c r="Q19" s="332">
        <f>SUM(B19,C19,D19,H19)</f>
        <v>99.999999999999986</v>
      </c>
      <c r="R19" s="332">
        <f>SUM(J19,K19,L19,P19)</f>
        <v>100</v>
      </c>
      <c r="S19" s="381"/>
      <c r="T19" s="382"/>
      <c r="U19" s="382"/>
      <c r="V19" s="382"/>
      <c r="W19" s="382"/>
      <c r="X19" s="382"/>
      <c r="Y19" s="382"/>
      <c r="Z19" s="382"/>
      <c r="AA19" s="382"/>
      <c r="AB19" s="382"/>
      <c r="AC19" s="382"/>
      <c r="AD19" s="382"/>
      <c r="AE19" s="382"/>
      <c r="AF19" s="381"/>
      <c r="AG19" s="381"/>
      <c r="AH19" s="381"/>
      <c r="AI19" s="381"/>
      <c r="AJ19" s="381"/>
      <c r="AK19" s="381"/>
      <c r="AL19" s="381"/>
      <c r="AM19" s="381"/>
      <c r="AN19" s="381"/>
      <c r="AO19" s="381"/>
    </row>
    <row r="20" spans="1:41" ht="15.75" customHeight="1">
      <c r="A20" s="298" t="s">
        <v>834</v>
      </c>
      <c r="B20" s="327">
        <f>('Pivot Table for Data Exchange'!$J$331)*100</f>
        <v>82.715475831306634</v>
      </c>
      <c r="C20" s="327">
        <f>('Pivot Table for Data Exchange'!$J$334)*100</f>
        <v>0.75316646647101715</v>
      </c>
      <c r="D20" s="328">
        <f>SUM(E20:G20)</f>
        <v>17.053644794430941</v>
      </c>
      <c r="E20" s="327">
        <f>('Pivot Table for Data Exchange'!$J$337)*100</f>
        <v>16.781154532130181</v>
      </c>
      <c r="F20" s="327">
        <f>('Pivot Table for Data Exchange'!$J$340)*100</f>
        <v>6.6314417505803913E-2</v>
      </c>
      <c r="G20" s="334">
        <f>('Pivot Table for Data Exchange'!$J$343)*100</f>
        <v>0.20617584479495693</v>
      </c>
      <c r="H20" s="327">
        <f>('Pivot Table for Data Exchange'!$J$346)*100</f>
        <v>0</v>
      </c>
      <c r="I20" s="298" t="s">
        <v>834</v>
      </c>
      <c r="J20" s="327">
        <f>('Pivot Table for Data Exchange'!$J$349)*100</f>
        <v>68.820552601824446</v>
      </c>
      <c r="K20" s="327">
        <f>('Pivot Table for Data Exchange'!$J$352)*100</f>
        <v>2.6489662347673462</v>
      </c>
      <c r="L20" s="328">
        <f>SUM(M20:O20)</f>
        <v>28.984945119147376</v>
      </c>
      <c r="M20" s="327">
        <f>('Pivot Table for Data Exchange'!$J$355)*100</f>
        <v>28.761494242358822</v>
      </c>
      <c r="N20" s="327">
        <f>('Pivot Table for Data Exchange'!$J$358)*100</f>
        <v>2.0491128439124883E-2</v>
      </c>
      <c r="O20" s="335">
        <f>('Pivot Table for Data Exchange'!$J$361)*100</f>
        <v>0.2029597483494274</v>
      </c>
      <c r="P20" s="327">
        <f>('Pivot Table for Data Exchange'!$J$364)*100</f>
        <v>0</v>
      </c>
      <c r="Q20" s="332">
        <f>SUM(B20,C20,D20,H20)</f>
        <v>100.52228709220859</v>
      </c>
      <c r="R20" s="332">
        <f>SUM(J20,K20,L20,P20)</f>
        <v>100.45446395573916</v>
      </c>
      <c r="S20" s="381"/>
      <c r="T20" s="382"/>
      <c r="U20" s="382"/>
      <c r="V20" s="382"/>
      <c r="W20" s="382"/>
      <c r="X20" s="382"/>
      <c r="Y20" s="382"/>
      <c r="Z20" s="382"/>
      <c r="AA20" s="382"/>
      <c r="AB20" s="382"/>
      <c r="AC20" s="382"/>
      <c r="AD20" s="382"/>
      <c r="AE20" s="382"/>
      <c r="AF20" s="381"/>
      <c r="AG20" s="381"/>
      <c r="AH20" s="381"/>
      <c r="AI20" s="381"/>
      <c r="AJ20" s="381"/>
      <c r="AK20" s="381"/>
      <c r="AL20" s="381"/>
      <c r="AM20" s="381"/>
      <c r="AN20" s="381"/>
      <c r="AO20" s="381"/>
    </row>
    <row r="21" spans="1:41" ht="15.75" customHeight="1">
      <c r="A21" s="298" t="s">
        <v>835</v>
      </c>
      <c r="B21" s="327">
        <f>('Pivot Table for Data Exchange'!$J$367)*100</f>
        <v>78.421045458339933</v>
      </c>
      <c r="C21" s="327">
        <f>('Pivot Table for Data Exchange'!$J$370)*100</f>
        <v>1.059240822042431</v>
      </c>
      <c r="D21" s="328">
        <f>SUM(E21:G21)</f>
        <v>20.519713719617634</v>
      </c>
      <c r="E21" s="327">
        <f>('Pivot Table for Data Exchange'!$J$373)*100</f>
        <v>19.190615645928204</v>
      </c>
      <c r="F21" s="327">
        <f>('Pivot Table for Data Exchange'!$J$376)*100</f>
        <v>0.9575332593951722</v>
      </c>
      <c r="G21" s="335">
        <f>('Pivot Table for Data Exchange'!$J$379)*100</f>
        <v>0.37156481429425686</v>
      </c>
      <c r="H21" s="327">
        <f>('Pivot Table for Data Exchange'!$J$382)*100</f>
        <v>0</v>
      </c>
      <c r="I21" s="298" t="s">
        <v>835</v>
      </c>
      <c r="J21" s="327">
        <f>('Pivot Table for Data Exchange'!$J$385)*100</f>
        <v>69.056985963190968</v>
      </c>
      <c r="K21" s="327">
        <f>('Pivot Table for Data Exchange'!$J$388)*100</f>
        <v>4.9690620499754719</v>
      </c>
      <c r="L21" s="328">
        <f>SUM(M21:O21)</f>
        <v>31.21963570761659</v>
      </c>
      <c r="M21" s="327">
        <f>('Pivot Table for Data Exchange'!$J$391)*100</f>
        <v>29.277586998148468</v>
      </c>
      <c r="N21" s="327">
        <f>('Pivot Table for Data Exchange'!$J$394)*100</f>
        <v>0.66623411561773038</v>
      </c>
      <c r="O21" s="335">
        <f>('Pivot Table for Data Exchange'!$J$397)*100</f>
        <v>1.2758145938503902</v>
      </c>
      <c r="P21" s="327">
        <f>('Pivot Table for Data Exchange'!$J$400)*100</f>
        <v>0</v>
      </c>
      <c r="Q21" s="332">
        <f>SUM(B21,C21,D21,H21)</f>
        <v>100</v>
      </c>
      <c r="R21" s="332">
        <f>SUM(J21,K21,L21,P21)</f>
        <v>105.24568372078303</v>
      </c>
      <c r="S21" s="381"/>
      <c r="T21" s="382"/>
      <c r="U21" s="382"/>
      <c r="V21" s="382"/>
      <c r="W21" s="382"/>
      <c r="X21" s="382"/>
      <c r="Y21" s="382"/>
      <c r="Z21" s="382"/>
      <c r="AA21" s="382"/>
      <c r="AB21" s="382"/>
      <c r="AC21" s="382"/>
      <c r="AD21" s="382"/>
      <c r="AE21" s="382"/>
      <c r="AF21" s="381"/>
      <c r="AG21" s="381"/>
      <c r="AH21" s="381"/>
      <c r="AI21" s="381"/>
      <c r="AJ21" s="381"/>
      <c r="AK21" s="381"/>
      <c r="AL21" s="381"/>
      <c r="AM21" s="381"/>
      <c r="AN21" s="381"/>
      <c r="AO21" s="381"/>
    </row>
    <row r="22" spans="1:41" ht="15.75" customHeight="1">
      <c r="A22" s="298" t="s">
        <v>836</v>
      </c>
      <c r="B22" s="327">
        <f>('Pivot Table for Data Exchange'!$J$403)*100</f>
        <v>86.261164455559054</v>
      </c>
      <c r="C22" s="327">
        <f>('Pivot Table for Data Exchange'!$J$406)*100</f>
        <v>1.7323304143141527</v>
      </c>
      <c r="D22" s="328">
        <f>SUM(E22:G22)</f>
        <v>12.006505130126788</v>
      </c>
      <c r="E22" s="327">
        <f>('Pivot Table for Data Exchange'!$J$409)*100</f>
        <v>12.0044626468326</v>
      </c>
      <c r="F22" s="327">
        <f>('Pivot Table for Data Exchange'!$J$412)*100</f>
        <v>2.0424832941887227E-3</v>
      </c>
      <c r="G22" s="335">
        <f>('Pivot Table for Data Exchange'!$J$415)*100</f>
        <v>0</v>
      </c>
      <c r="H22" s="327">
        <f>('Pivot Table for Data Exchange'!$J$418)*100</f>
        <v>0</v>
      </c>
      <c r="I22" s="298" t="s">
        <v>836</v>
      </c>
      <c r="J22" s="327">
        <f>('Pivot Table for Data Exchange'!$J$421)*100</f>
        <v>62.500129023125375</v>
      </c>
      <c r="K22" s="327">
        <f>('Pivot Table for Data Exchange'!$J$424)*100</f>
        <v>10.638878280320803</v>
      </c>
      <c r="L22" s="328">
        <f>SUM(M22:O22)</f>
        <v>26.860992696553829</v>
      </c>
      <c r="M22" s="327">
        <f>('Pivot Table for Data Exchange'!$J$427)*100</f>
        <v>23.310276286434288</v>
      </c>
      <c r="N22" s="327">
        <f>('Pivot Table for Data Exchange'!$J$430)*100</f>
        <v>3.5507164101195423</v>
      </c>
      <c r="O22" s="335">
        <f>('Pivot Table for Data Exchange'!$J$433)*100</f>
        <v>0</v>
      </c>
      <c r="P22" s="327">
        <f>('Pivot Table for Data Exchange'!$J$436)*100</f>
        <v>0</v>
      </c>
      <c r="Q22" s="332">
        <f>SUM(B22,C22,D22,H22)</f>
        <v>99.999999999999986</v>
      </c>
      <c r="R22" s="332">
        <f>SUM(J22,K22,L22,P22)</f>
        <v>100</v>
      </c>
      <c r="S22" s="381"/>
      <c r="T22" s="382"/>
      <c r="U22" s="382"/>
      <c r="V22" s="382"/>
      <c r="W22" s="382"/>
      <c r="X22" s="382"/>
      <c r="Y22" s="382"/>
      <c r="Z22" s="382"/>
      <c r="AA22" s="382"/>
      <c r="AB22" s="382"/>
      <c r="AC22" s="382"/>
      <c r="AD22" s="382"/>
      <c r="AE22" s="382"/>
      <c r="AF22" s="381"/>
      <c r="AG22" s="381"/>
      <c r="AH22" s="381"/>
      <c r="AI22" s="381"/>
      <c r="AJ22" s="381"/>
      <c r="AK22" s="381"/>
      <c r="AL22" s="381"/>
      <c r="AM22" s="381"/>
      <c r="AN22" s="381"/>
      <c r="AO22" s="381"/>
    </row>
    <row r="23" spans="1:41" ht="9.75" customHeight="1">
      <c r="B23" s="327"/>
      <c r="C23" s="327"/>
      <c r="D23" s="328"/>
      <c r="E23" s="327"/>
      <c r="F23" s="327"/>
      <c r="G23" s="335"/>
      <c r="H23" s="327"/>
      <c r="I23" s="298"/>
      <c r="J23" s="327"/>
      <c r="K23" s="327"/>
      <c r="L23" s="328"/>
      <c r="M23" s="327"/>
      <c r="N23" s="327"/>
      <c r="O23" s="335"/>
      <c r="P23" s="327"/>
      <c r="Q23" s="332">
        <f t="shared" si="3"/>
        <v>0</v>
      </c>
      <c r="R23" s="332">
        <f t="shared" si="2"/>
        <v>0</v>
      </c>
      <c r="S23" s="381"/>
      <c r="T23" s="382"/>
      <c r="U23" s="382"/>
      <c r="V23" s="382"/>
      <c r="W23" s="382"/>
      <c r="X23" s="382"/>
      <c r="Y23" s="382"/>
      <c r="Z23" s="382"/>
      <c r="AA23" s="382"/>
      <c r="AB23" s="382"/>
      <c r="AC23" s="382"/>
      <c r="AD23" s="382"/>
      <c r="AE23" s="382"/>
      <c r="AF23" s="381"/>
      <c r="AG23" s="381"/>
      <c r="AH23" s="381"/>
      <c r="AI23" s="381"/>
      <c r="AJ23" s="381"/>
      <c r="AK23" s="381"/>
      <c r="AL23" s="381"/>
      <c r="AM23" s="381"/>
      <c r="AN23" s="381"/>
      <c r="AO23" s="381"/>
    </row>
    <row r="24" spans="1:41" ht="15.75" customHeight="1">
      <c r="A24" s="298" t="s">
        <v>837</v>
      </c>
      <c r="B24" s="327">
        <f>('Pivot Table for Data Exchange'!$J$439)*100</f>
        <v>75.073477396824046</v>
      </c>
      <c r="C24" s="327">
        <f>('Pivot Table for Data Exchange'!$J$442)*100</f>
        <v>2.9378078364817353</v>
      </c>
      <c r="D24" s="328">
        <f>SUM(E24:G24)</f>
        <v>21.359576737654425</v>
      </c>
      <c r="E24" s="327">
        <f>('Pivot Table for Data Exchange'!$J$445)*100</f>
        <v>15.846068794028392</v>
      </c>
      <c r="F24" s="327">
        <f>('Pivot Table for Data Exchange'!$J$448)*100</f>
        <v>0.36973426112634722</v>
      </c>
      <c r="G24" s="335">
        <f>('Pivot Table for Data Exchange'!$J$451)*100</f>
        <v>5.1437736824996856</v>
      </c>
      <c r="H24" s="327">
        <f>('Pivot Table for Data Exchange'!$J$454)*100</f>
        <v>0.62913802903979932</v>
      </c>
      <c r="I24" s="298" t="s">
        <v>837</v>
      </c>
      <c r="J24" s="327">
        <f>('Pivot Table for Data Exchange'!$J$457)*100</f>
        <v>55.176528719129614</v>
      </c>
      <c r="K24" s="327">
        <f>('Pivot Table for Data Exchange'!$J$460)*100</f>
        <v>3.6085758058852231</v>
      </c>
      <c r="L24" s="328">
        <f>SUM(M24:O24)</f>
        <v>37.628073054082023</v>
      </c>
      <c r="M24" s="327">
        <f>('Pivot Table for Data Exchange'!$J$463)*100</f>
        <v>34.462023251260923</v>
      </c>
      <c r="N24" s="327">
        <f>('Pivot Table for Data Exchange'!$J$466)*100</f>
        <v>0.12585887025348907</v>
      </c>
      <c r="O24" s="335">
        <f>('Pivot Table for Data Exchange'!$J$469)*100</f>
        <v>3.0401909325676142</v>
      </c>
      <c r="P24" s="327">
        <f>('Pivot Table for Data Exchange'!$J$472)*100</f>
        <v>3.5868224209031387</v>
      </c>
      <c r="Q24" s="332">
        <f>SUM(B24,C24,D24,H24)</f>
        <v>100</v>
      </c>
      <c r="R24" s="332">
        <f>SUM(J24,K24,L24,P24)</f>
        <v>100</v>
      </c>
      <c r="S24" s="381"/>
      <c r="T24" s="382"/>
      <c r="U24" s="382"/>
      <c r="V24" s="382"/>
      <c r="W24" s="382"/>
      <c r="X24" s="382"/>
      <c r="Y24" s="382"/>
      <c r="Z24" s="382"/>
      <c r="AA24" s="382"/>
      <c r="AB24" s="382"/>
      <c r="AC24" s="382"/>
      <c r="AD24" s="382"/>
      <c r="AE24" s="382"/>
      <c r="AF24" s="381"/>
      <c r="AG24" s="381"/>
      <c r="AH24" s="381"/>
      <c r="AI24" s="381"/>
      <c r="AJ24" s="381"/>
      <c r="AK24" s="381"/>
      <c r="AL24" s="381"/>
      <c r="AM24" s="381"/>
      <c r="AN24" s="381"/>
      <c r="AO24" s="381"/>
    </row>
    <row r="25" spans="1:41" ht="15.75" customHeight="1">
      <c r="A25" s="298" t="s">
        <v>838</v>
      </c>
      <c r="B25" s="327">
        <f>('Pivot Table for Data Exchange'!$J$475)*100</f>
        <v>77.45677512097221</v>
      </c>
      <c r="C25" s="327">
        <f>('Pivot Table for Data Exchange'!$J$478)*100</f>
        <v>1.5874585486296298</v>
      </c>
      <c r="D25" s="328">
        <f>SUM(E25:G25)</f>
        <v>20.955766330398156</v>
      </c>
      <c r="E25" s="327">
        <f>('Pivot Table for Data Exchange'!$J$481)*100</f>
        <v>20.094451491022614</v>
      </c>
      <c r="F25" s="327">
        <f>('Pivot Table for Data Exchange'!$J$484)*100</f>
        <v>0.54630948257155609</v>
      </c>
      <c r="G25" s="335">
        <f>('Pivot Table for Data Exchange'!$J$487)*100</f>
        <v>0.31500535680398628</v>
      </c>
      <c r="H25" s="327">
        <f>('Pivot Table for Data Exchange'!$J$490)*100</f>
        <v>0</v>
      </c>
      <c r="I25" s="298" t="s">
        <v>838</v>
      </c>
      <c r="J25" s="327">
        <f>('Pivot Table for Data Exchange'!$J$493)*100</f>
        <v>59.553054778085254</v>
      </c>
      <c r="K25" s="327">
        <f>('Pivot Table for Data Exchange'!$J$496)*100</f>
        <v>2.381297180306114</v>
      </c>
      <c r="L25" s="328">
        <f>SUM(M25:O25)</f>
        <v>38.06564804160864</v>
      </c>
      <c r="M25" s="327">
        <f>('Pivot Table for Data Exchange'!$J$499)*100</f>
        <v>36.896063557429095</v>
      </c>
      <c r="N25" s="327">
        <f>('Pivot Table for Data Exchange'!$J$502)*100</f>
        <v>0.41957066085999478</v>
      </c>
      <c r="O25" s="335">
        <f>('Pivot Table for Data Exchange'!$J$505)*100</f>
        <v>0.75001382331954514</v>
      </c>
      <c r="P25" s="327">
        <f>('Pivot Table for Data Exchange'!$J$508)*100</f>
        <v>0</v>
      </c>
      <c r="Q25" s="332">
        <f>SUM(B25,C25,D25,H25)</f>
        <v>100</v>
      </c>
      <c r="R25" s="332">
        <f>SUM(J25,K25,L25,P25)</f>
        <v>100</v>
      </c>
      <c r="S25" s="381"/>
      <c r="T25" s="382"/>
      <c r="U25" s="382"/>
      <c r="V25" s="382"/>
      <c r="W25" s="382"/>
      <c r="X25" s="382"/>
      <c r="Y25" s="382"/>
      <c r="Z25" s="382"/>
      <c r="AA25" s="382"/>
      <c r="AB25" s="382"/>
      <c r="AC25" s="382"/>
      <c r="AD25" s="382"/>
      <c r="AE25" s="382"/>
      <c r="AF25" s="381"/>
      <c r="AG25" s="381"/>
      <c r="AH25" s="381"/>
      <c r="AI25" s="381"/>
      <c r="AJ25" s="381"/>
      <c r="AK25" s="381"/>
      <c r="AL25" s="381"/>
      <c r="AM25" s="381"/>
      <c r="AN25" s="381"/>
      <c r="AO25" s="381"/>
    </row>
    <row r="26" spans="1:41" ht="15.75" customHeight="1">
      <c r="A26" s="298" t="s">
        <v>839</v>
      </c>
      <c r="B26" s="327">
        <f>('Pivot Table for Data Exchange'!$J$511)*100</f>
        <v>88.890774037677716</v>
      </c>
      <c r="C26" s="327">
        <f>('Pivot Table for Data Exchange'!$J$514)*100</f>
        <v>1.3384777149396347</v>
      </c>
      <c r="D26" s="328">
        <f>SUM(E26:G26)</f>
        <v>9.7707482473826435</v>
      </c>
      <c r="E26" s="327">
        <f>('Pivot Table for Data Exchange'!$J$517)*100</f>
        <v>9.1652188142813706</v>
      </c>
      <c r="F26" s="327">
        <f>('Pivot Table for Data Exchange'!$J$520)*100</f>
        <v>0.60415088003786632</v>
      </c>
      <c r="G26" s="335">
        <f>('Pivot Table for Data Exchange'!$J$523)*100</f>
        <v>1.3785530634064264E-3</v>
      </c>
      <c r="H26" s="327">
        <f>('Pivot Table for Data Exchange'!$J$526)*100</f>
        <v>0</v>
      </c>
      <c r="I26" s="298" t="s">
        <v>839</v>
      </c>
      <c r="J26" s="327">
        <f>('Pivot Table for Data Exchange'!$J$529)*100</f>
        <v>76.589027003074776</v>
      </c>
      <c r="K26" s="327">
        <f>('Pivot Table for Data Exchange'!$J$532)*100</f>
        <v>7.1969779732902168</v>
      </c>
      <c r="L26" s="328">
        <f>SUM(M26:O26)</f>
        <v>16.213995023635015</v>
      </c>
      <c r="M26" s="327">
        <f>('Pivot Table for Data Exchange'!$J$535)*100</f>
        <v>13.166454125500904</v>
      </c>
      <c r="N26" s="327">
        <f>('Pivot Table for Data Exchange'!$J$538)*100</f>
        <v>2.8695080478362707</v>
      </c>
      <c r="O26" s="335">
        <f>('Pivot Table for Data Exchange'!$J$541)*100</f>
        <v>0.17803285029784086</v>
      </c>
      <c r="P26" s="327">
        <f>('Pivot Table for Data Exchange'!$J$544)*100</f>
        <v>0</v>
      </c>
      <c r="Q26" s="332">
        <f>SUM(B26,C26,D26,H26)</f>
        <v>99.999999999999986</v>
      </c>
      <c r="R26" s="332">
        <f>SUM(J26,K26,L26,P26)</f>
        <v>100</v>
      </c>
      <c r="S26" s="381"/>
      <c r="T26" s="382"/>
      <c r="U26" s="382"/>
      <c r="V26" s="382"/>
      <c r="W26" s="382"/>
      <c r="X26" s="382"/>
      <c r="Y26" s="382"/>
      <c r="Z26" s="382"/>
      <c r="AA26" s="382"/>
      <c r="AB26" s="382"/>
      <c r="AC26" s="382"/>
      <c r="AD26" s="382"/>
      <c r="AE26" s="382"/>
      <c r="AF26" s="381"/>
      <c r="AG26" s="381"/>
      <c r="AH26" s="381"/>
      <c r="AI26" s="381"/>
      <c r="AJ26" s="381"/>
      <c r="AK26" s="381"/>
      <c r="AL26" s="381"/>
      <c r="AM26" s="381"/>
      <c r="AN26" s="381"/>
      <c r="AO26" s="381"/>
    </row>
    <row r="27" spans="1:41" ht="15.75" customHeight="1">
      <c r="A27" s="304" t="s">
        <v>840</v>
      </c>
      <c r="B27" s="340">
        <f>('Pivot Table for Data Exchange'!$J$547)*100</f>
        <v>79.557047375518593</v>
      </c>
      <c r="C27" s="340">
        <f>('Pivot Table for Data Exchange'!$J$550)*100</f>
        <v>4.3570149517696732</v>
      </c>
      <c r="D27" s="341">
        <f>SUM(E27:G27)</f>
        <v>16.085937672711733</v>
      </c>
      <c r="E27" s="340">
        <f>('Pivot Table for Data Exchange'!$J$553)*100</f>
        <v>15.504226140910665</v>
      </c>
      <c r="F27" s="340">
        <f>('Pivot Table for Data Exchange'!$J$556)*100</f>
        <v>0.40618114559000168</v>
      </c>
      <c r="G27" s="342">
        <f>('Pivot Table for Data Exchange'!$J$559)*100</f>
        <v>0.17553038621106387</v>
      </c>
      <c r="H27" s="340">
        <f>('Pivot Table for Data Exchange'!$J$562)*100</f>
        <v>0</v>
      </c>
      <c r="I27" s="304" t="s">
        <v>840</v>
      </c>
      <c r="J27" s="340">
        <f>('Pivot Table for Data Exchange'!$J$565)*100</f>
        <v>58.196730495579786</v>
      </c>
      <c r="K27" s="340">
        <f>('Pivot Table for Data Exchange'!$J$568)*100</f>
        <v>8.7076605900346209</v>
      </c>
      <c r="L27" s="341">
        <f>SUM(M27:O27)</f>
        <v>33.095608914385593</v>
      </c>
      <c r="M27" s="340">
        <f>('Pivot Table for Data Exchange'!$J$571)*100</f>
        <v>32.346580914071865</v>
      </c>
      <c r="N27" s="340">
        <f>('Pivot Table for Data Exchange'!$J$574)*100</f>
        <v>0.41288978027765016</v>
      </c>
      <c r="O27" s="342">
        <f>('Pivot Table for Data Exchange'!$J$577)*100</f>
        <v>0.33613822003607885</v>
      </c>
      <c r="P27" s="340">
        <f>('Pivot Table for Data Exchange'!$J$580)*100</f>
        <v>0</v>
      </c>
      <c r="Q27" s="332">
        <f t="shared" ref="Q27:Q90" si="4">SUM(B27,C27,D27,H27)</f>
        <v>100</v>
      </c>
      <c r="R27" s="332">
        <f t="shared" ref="R27:R90" si="5">SUM(J27,K27,L27,P27)</f>
        <v>100</v>
      </c>
      <c r="S27" s="381"/>
      <c r="T27" s="382"/>
      <c r="U27" s="382"/>
      <c r="V27" s="382"/>
      <c r="W27" s="382"/>
      <c r="X27" s="382"/>
      <c r="Y27" s="382"/>
      <c r="Z27" s="382"/>
      <c r="AA27" s="382"/>
      <c r="AB27" s="382"/>
      <c r="AC27" s="382"/>
      <c r="AD27" s="382"/>
      <c r="AE27" s="382"/>
      <c r="AF27" s="381"/>
      <c r="AG27" s="381"/>
      <c r="AH27" s="381"/>
      <c r="AI27" s="381"/>
      <c r="AJ27" s="381"/>
      <c r="AK27" s="381"/>
      <c r="AL27" s="381"/>
      <c r="AM27" s="381"/>
      <c r="AN27" s="381"/>
      <c r="AO27" s="381"/>
    </row>
    <row r="28" spans="1:41" s="371" customFormat="1" ht="33" customHeight="1">
      <c r="A28" s="465" t="s">
        <v>890</v>
      </c>
      <c r="B28" s="466"/>
      <c r="C28" s="466"/>
      <c r="D28" s="466"/>
      <c r="E28" s="466"/>
      <c r="F28" s="466"/>
      <c r="G28" s="466"/>
      <c r="H28" s="466"/>
      <c r="I28" s="465" t="s">
        <v>890</v>
      </c>
      <c r="J28" s="466"/>
      <c r="K28" s="466"/>
      <c r="L28" s="466"/>
      <c r="M28" s="466"/>
      <c r="N28" s="466"/>
      <c r="O28" s="466"/>
      <c r="P28" s="466"/>
      <c r="Q28" s="332">
        <f>SUM(B28,C28,D28,H28)</f>
        <v>0</v>
      </c>
      <c r="R28" s="332">
        <f>SUM(J28,K28,L28,P28)</f>
        <v>0</v>
      </c>
    </row>
    <row r="29" spans="1:41" s="371" customFormat="1" ht="10.5" customHeight="1">
      <c r="A29" s="346" t="s">
        <v>860</v>
      </c>
      <c r="B29" s="347"/>
      <c r="C29" s="347"/>
      <c r="D29" s="348"/>
      <c r="E29" s="347"/>
      <c r="F29" s="348"/>
      <c r="G29" s="348"/>
      <c r="H29" s="347"/>
      <c r="I29" s="346" t="s">
        <v>860</v>
      </c>
      <c r="J29" s="347"/>
      <c r="K29" s="347"/>
      <c r="L29" s="348"/>
      <c r="M29" s="347"/>
      <c r="N29" s="348"/>
      <c r="O29" s="348"/>
      <c r="P29" s="347"/>
      <c r="Q29" s="332">
        <f t="shared" si="4"/>
        <v>0</v>
      </c>
      <c r="R29" s="332">
        <f t="shared" si="5"/>
        <v>0</v>
      </c>
      <c r="S29" s="384"/>
      <c r="T29" s="381"/>
      <c r="U29" s="384"/>
      <c r="V29" s="384"/>
      <c r="W29" s="384"/>
      <c r="X29" s="384"/>
      <c r="Y29" s="384"/>
      <c r="Z29" s="384"/>
      <c r="AA29" s="384"/>
      <c r="AB29" s="384"/>
      <c r="AC29" s="384"/>
      <c r="AD29" s="384"/>
      <c r="AE29" s="384"/>
      <c r="AF29" s="384"/>
      <c r="AG29" s="384"/>
      <c r="AH29" s="384"/>
      <c r="AI29" s="384"/>
      <c r="AJ29" s="384"/>
      <c r="AK29" s="384"/>
      <c r="AL29" s="384"/>
      <c r="AM29" s="384"/>
      <c r="AN29" s="384"/>
      <c r="AO29" s="384"/>
    </row>
    <row r="30" spans="1:41" s="371" customFormat="1" ht="21.75" customHeight="1">
      <c r="A30" s="455" t="s">
        <v>861</v>
      </c>
      <c r="B30" s="456"/>
      <c r="C30" s="456"/>
      <c r="D30" s="456"/>
      <c r="E30" s="456"/>
      <c r="F30" s="456"/>
      <c r="G30" s="456"/>
      <c r="H30" s="456"/>
      <c r="I30" s="455" t="s">
        <v>861</v>
      </c>
      <c r="J30" s="456"/>
      <c r="K30" s="456"/>
      <c r="L30" s="456"/>
      <c r="M30" s="456"/>
      <c r="N30" s="456"/>
      <c r="O30" s="456"/>
      <c r="P30" s="456"/>
      <c r="Q30" s="332">
        <f t="shared" si="4"/>
        <v>0</v>
      </c>
      <c r="R30" s="332">
        <f t="shared" si="5"/>
        <v>0</v>
      </c>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row>
    <row r="31" spans="1:41" s="371" customFormat="1" ht="13.5" customHeight="1">
      <c r="A31" s="344"/>
      <c r="B31" s="174"/>
      <c r="C31" s="174"/>
      <c r="D31" s="174"/>
      <c r="E31" s="174"/>
      <c r="F31" s="174"/>
      <c r="G31" s="174"/>
      <c r="I31" s="344"/>
      <c r="J31" s="174"/>
      <c r="K31" s="174"/>
      <c r="L31" s="174"/>
      <c r="M31" s="174"/>
      <c r="N31" s="174"/>
      <c r="O31" s="174"/>
      <c r="P31" s="174"/>
      <c r="Q31" s="332">
        <f t="shared" si="4"/>
        <v>0</v>
      </c>
      <c r="R31" s="332">
        <f t="shared" si="5"/>
        <v>0</v>
      </c>
    </row>
    <row r="32" spans="1:41">
      <c r="H32" s="351" t="s">
        <v>980</v>
      </c>
      <c r="I32" s="298"/>
      <c r="P32" s="351" t="s">
        <v>980</v>
      </c>
      <c r="Q32" s="332">
        <f>SUM(B32,C32,D32,H32)</f>
        <v>0</v>
      </c>
      <c r="R32" s="332">
        <f t="shared" si="5"/>
        <v>0</v>
      </c>
    </row>
    <row r="33" spans="1:41" ht="18">
      <c r="A33" s="293" t="s">
        <v>862</v>
      </c>
      <c r="B33" s="294"/>
      <c r="C33" s="294"/>
      <c r="D33" s="294"/>
      <c r="E33" s="294"/>
      <c r="F33" s="294"/>
      <c r="G33" s="294"/>
      <c r="H33" s="294"/>
      <c r="I33" s="293" t="s">
        <v>863</v>
      </c>
      <c r="J33" s="295"/>
      <c r="K33" s="295"/>
      <c r="L33" s="294"/>
      <c r="M33" s="295"/>
      <c r="N33" s="295"/>
      <c r="O33" s="295"/>
      <c r="P33" s="295"/>
      <c r="Q33" s="332">
        <f t="shared" si="4"/>
        <v>0</v>
      </c>
      <c r="R33" s="332">
        <f t="shared" si="5"/>
        <v>0</v>
      </c>
    </row>
    <row r="34" spans="1:41">
      <c r="A34" s="299"/>
      <c r="B34" s="295"/>
      <c r="C34" s="295"/>
      <c r="D34" s="295"/>
      <c r="E34" s="295"/>
      <c r="F34" s="295"/>
      <c r="G34" s="295"/>
      <c r="H34" s="295"/>
      <c r="I34" s="299"/>
      <c r="J34" s="295"/>
      <c r="K34" s="295"/>
      <c r="L34" s="295"/>
      <c r="M34" s="295"/>
      <c r="N34" s="295"/>
      <c r="O34" s="295"/>
      <c r="P34" s="295"/>
      <c r="Q34" s="332">
        <f t="shared" si="4"/>
        <v>0</v>
      </c>
      <c r="R34" s="332">
        <f t="shared" si="5"/>
        <v>0</v>
      </c>
    </row>
    <row r="35" spans="1:41" ht="15.75">
      <c r="A35" s="301" t="s">
        <v>846</v>
      </c>
      <c r="B35" s="295"/>
      <c r="C35" s="295"/>
      <c r="D35" s="295"/>
      <c r="E35" s="295"/>
      <c r="F35" s="295"/>
      <c r="G35" s="295"/>
      <c r="H35" s="295"/>
      <c r="I35" s="301" t="s">
        <v>847</v>
      </c>
      <c r="J35" s="295"/>
      <c r="K35" s="295"/>
      <c r="L35" s="295"/>
      <c r="M35" s="295"/>
      <c r="N35" s="295"/>
      <c r="O35" s="295"/>
      <c r="P35" s="295"/>
      <c r="Q35" s="332">
        <f t="shared" si="4"/>
        <v>0</v>
      </c>
      <c r="R35" s="332">
        <f t="shared" si="5"/>
        <v>0</v>
      </c>
    </row>
    <row r="36" spans="1:41" ht="15.75">
      <c r="A36" s="301" t="s">
        <v>982</v>
      </c>
      <c r="B36" s="295"/>
      <c r="C36" s="295"/>
      <c r="D36" s="295"/>
      <c r="E36" s="295"/>
      <c r="F36" s="295"/>
      <c r="G36" s="295"/>
      <c r="H36" s="295"/>
      <c r="I36" s="301" t="s">
        <v>982</v>
      </c>
      <c r="J36" s="295"/>
      <c r="K36" s="295"/>
      <c r="L36" s="295"/>
      <c r="M36" s="295"/>
      <c r="N36" s="295"/>
      <c r="O36" s="295"/>
      <c r="P36" s="295"/>
      <c r="Q36" s="332">
        <f t="shared" si="4"/>
        <v>0</v>
      </c>
      <c r="R36" s="332">
        <f t="shared" si="5"/>
        <v>0</v>
      </c>
    </row>
    <row r="37" spans="1:41">
      <c r="A37" s="304"/>
      <c r="B37" s="305"/>
      <c r="C37" s="305"/>
      <c r="D37" s="305"/>
      <c r="E37" s="305"/>
      <c r="F37" s="305"/>
      <c r="G37" s="305"/>
      <c r="H37" s="305"/>
      <c r="I37" s="306"/>
      <c r="L37" s="307"/>
      <c r="P37" s="304"/>
      <c r="Q37" s="332">
        <f t="shared" si="4"/>
        <v>0</v>
      </c>
      <c r="R37" s="332">
        <f t="shared" si="5"/>
        <v>0</v>
      </c>
    </row>
    <row r="38" spans="1:41" s="325" customFormat="1">
      <c r="A38" s="309"/>
      <c r="B38" s="310" t="s">
        <v>848</v>
      </c>
      <c r="C38" s="310"/>
      <c r="D38" s="310"/>
      <c r="E38" s="310"/>
      <c r="F38" s="310"/>
      <c r="G38" s="310"/>
      <c r="H38" s="311"/>
      <c r="I38" s="309"/>
      <c r="J38" s="310" t="s">
        <v>848</v>
      </c>
      <c r="K38" s="310"/>
      <c r="L38" s="310"/>
      <c r="M38" s="310"/>
      <c r="N38" s="310"/>
      <c r="O38" s="310"/>
      <c r="P38" s="311"/>
      <c r="Q38" s="332">
        <f t="shared" si="4"/>
        <v>0</v>
      </c>
      <c r="R38" s="332">
        <f t="shared" si="5"/>
        <v>0</v>
      </c>
    </row>
    <row r="39" spans="1:41" s="325" customFormat="1">
      <c r="A39" s="309"/>
      <c r="B39" s="310" t="s">
        <v>849</v>
      </c>
      <c r="C39" s="310"/>
      <c r="D39" s="450" t="s">
        <v>850</v>
      </c>
      <c r="E39" s="448"/>
      <c r="F39" s="448"/>
      <c r="G39" s="448"/>
      <c r="H39" s="317" t="s">
        <v>740</v>
      </c>
      <c r="I39" s="309"/>
      <c r="J39" s="310" t="s">
        <v>849</v>
      </c>
      <c r="K39" s="310"/>
      <c r="L39" s="450" t="s">
        <v>850</v>
      </c>
      <c r="M39" s="448"/>
      <c r="N39" s="448"/>
      <c r="O39" s="448"/>
      <c r="P39" s="317" t="s">
        <v>740</v>
      </c>
      <c r="Q39" s="332">
        <f t="shared" si="4"/>
        <v>0</v>
      </c>
      <c r="R39" s="332">
        <f t="shared" si="5"/>
        <v>0</v>
      </c>
    </row>
    <row r="40" spans="1:41" s="325" customFormat="1" ht="40.5" customHeight="1">
      <c r="A40" s="309"/>
      <c r="B40" s="318" t="s">
        <v>851</v>
      </c>
      <c r="C40" s="319" t="s">
        <v>852</v>
      </c>
      <c r="D40" s="320" t="s">
        <v>853</v>
      </c>
      <c r="E40" s="321" t="s">
        <v>8</v>
      </c>
      <c r="F40" s="318" t="s">
        <v>854</v>
      </c>
      <c r="G40" s="322" t="s">
        <v>864</v>
      </c>
      <c r="H40" s="323" t="s">
        <v>856</v>
      </c>
      <c r="I40" s="309"/>
      <c r="J40" s="318" t="s">
        <v>851</v>
      </c>
      <c r="K40" s="319" t="s">
        <v>852</v>
      </c>
      <c r="L40" s="320" t="s">
        <v>853</v>
      </c>
      <c r="M40" s="321" t="s">
        <v>8</v>
      </c>
      <c r="N40" s="318" t="s">
        <v>854</v>
      </c>
      <c r="O40" s="322" t="s">
        <v>864</v>
      </c>
      <c r="P40" s="323" t="s">
        <v>856</v>
      </c>
      <c r="Q40" s="332">
        <f t="shared" si="4"/>
        <v>0</v>
      </c>
      <c r="R40" s="332">
        <f t="shared" si="5"/>
        <v>0</v>
      </c>
      <c r="T40" s="324"/>
    </row>
    <row r="41" spans="1:41" ht="15.75" customHeight="1">
      <c r="A41" s="326" t="s">
        <v>825</v>
      </c>
      <c r="B41" s="380">
        <f>('Pivot Table for Data Exchange'!$C$7)*100</f>
        <v>86.956405174602892</v>
      </c>
      <c r="C41" s="339">
        <f>('Pivot Table for Data Exchange'!$C$10)*100</f>
        <v>0.62310118034120332</v>
      </c>
      <c r="D41" s="328">
        <f>SUM(E41:G41)</f>
        <v>12.420493645055911</v>
      </c>
      <c r="E41" s="327">
        <f>('Pivot Table for Data Exchange'!$C$13)*100</f>
        <v>12.357313471793518</v>
      </c>
      <c r="F41" s="339">
        <f>('Pivot Table for Data Exchange'!$C$16)*100</f>
        <v>6.3180173262393474E-2</v>
      </c>
      <c r="G41" s="331">
        <f>('Pivot Table for Data Exchange'!$C$19)*100</f>
        <v>0</v>
      </c>
      <c r="H41" s="327">
        <f>('Pivot Table for Data Exchange'!$C$22)*100</f>
        <v>0</v>
      </c>
      <c r="I41" s="330" t="s">
        <v>825</v>
      </c>
      <c r="J41" s="327">
        <f>('Pivot Table for Data Exchange'!$C$25)*100</f>
        <v>71.175837175442851</v>
      </c>
      <c r="K41" s="327">
        <f>('Pivot Table for Data Exchange'!$C$28)*100</f>
        <v>2.8269837418102401</v>
      </c>
      <c r="L41" s="328">
        <f>SUM(M41:O41)</f>
        <v>25.997179082746907</v>
      </c>
      <c r="M41" s="327">
        <f>('Pivot Table for Data Exchange'!$C$31)*100</f>
        <v>25.840208687211842</v>
      </c>
      <c r="N41" s="327">
        <f>('Pivot Table for Data Exchange'!$C$34)*100</f>
        <v>0.15697039553506431</v>
      </c>
      <c r="O41" s="331">
        <f>('Pivot Table for Data Exchange'!$C$37)*100</f>
        <v>0</v>
      </c>
      <c r="P41" s="327">
        <f>('Pivot Table for Data Exchange'!$C$40)*100</f>
        <v>0</v>
      </c>
      <c r="Q41" s="332">
        <f t="shared" si="4"/>
        <v>100.00000000000001</v>
      </c>
      <c r="R41" s="332">
        <f t="shared" si="5"/>
        <v>100</v>
      </c>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row>
    <row r="42" spans="1:41" ht="15.75" customHeight="1">
      <c r="A42" s="298" t="s">
        <v>826</v>
      </c>
      <c r="B42" s="327">
        <f>('Pivot Table for Data Exchange'!$C$43)*100</f>
        <v>89.150451108744633</v>
      </c>
      <c r="C42" s="327">
        <f>('Pivot Table for Data Exchange'!$C$46)*100</f>
        <v>1.2610384540011879</v>
      </c>
      <c r="D42" s="328">
        <f t="shared" ref="D42:D44" si="6">SUM(E42:G42)</f>
        <v>8.9677896658954506</v>
      </c>
      <c r="E42" s="327">
        <f>('Pivot Table for Data Exchange'!$C$49)*100</f>
        <v>8.9096065882081277</v>
      </c>
      <c r="F42" s="327">
        <f>('Pivot Table for Data Exchange'!$C$52)*100</f>
        <v>5.408139858142668E-2</v>
      </c>
      <c r="G42" s="338">
        <f>('Pivot Table for Data Exchange'!$C$55)*100</f>
        <v>4.1016791058947205E-3</v>
      </c>
      <c r="H42" s="327">
        <f>('Pivot Table for Data Exchange'!$C$58)*100</f>
        <v>0.62072077135873438</v>
      </c>
      <c r="I42" s="333" t="s">
        <v>826</v>
      </c>
      <c r="J42" s="327">
        <f>('Pivot Table for Data Exchange'!$C$61)*100</f>
        <v>67.103715972740261</v>
      </c>
      <c r="K42" s="327">
        <f>('Pivot Table for Data Exchange'!$C$64)*100</f>
        <v>0.70298769771528991</v>
      </c>
      <c r="L42" s="328">
        <f t="shared" ref="L42:L44" si="7">SUM(M42:O42)</f>
        <v>31.990997711496885</v>
      </c>
      <c r="M42" s="327">
        <f>('Pivot Table for Data Exchange'!$C$67)*100</f>
        <v>31.953066720612966</v>
      </c>
      <c r="N42" s="336">
        <f>('Pivot Table for Data Exchange'!$C$70)*100</f>
        <v>3.7930990883918526E-2</v>
      </c>
      <c r="O42" s="334">
        <f>('Pivot Table for Data Exchange'!$C$73)*100</f>
        <v>0</v>
      </c>
      <c r="P42" s="339">
        <f>('Pivot Table for Data Exchange'!$C$76)*100</f>
        <v>0.20229861804756544</v>
      </c>
      <c r="Q42" s="332">
        <f t="shared" si="4"/>
        <v>100.00000000000001</v>
      </c>
      <c r="R42" s="332">
        <f t="shared" si="5"/>
        <v>100</v>
      </c>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row>
    <row r="43" spans="1:41" ht="15.75" customHeight="1">
      <c r="A43" s="298" t="s">
        <v>827</v>
      </c>
      <c r="B43" s="327">
        <f>('Pivot Table for Data Exchange'!$C$79)*100</f>
        <v>96.130673743340353</v>
      </c>
      <c r="C43" s="327">
        <f>('Pivot Table for Data Exchange'!$C$82)*100</f>
        <v>0</v>
      </c>
      <c r="D43" s="328">
        <f t="shared" si="6"/>
        <v>3.8693262566596394</v>
      </c>
      <c r="E43" s="327">
        <f>('Pivot Table for Data Exchange'!$C$85)*100</f>
        <v>3.8693262566596394</v>
      </c>
      <c r="F43" s="327">
        <f>('Pivot Table for Data Exchange'!$C$88)*100</f>
        <v>0</v>
      </c>
      <c r="G43" s="335">
        <f>('Pivot Table for Data Exchange'!$C$91)*100</f>
        <v>0</v>
      </c>
      <c r="H43" s="327">
        <f>('Pivot Table for Data Exchange'!$C$94)*100</f>
        <v>0</v>
      </c>
      <c r="I43" s="333" t="s">
        <v>827</v>
      </c>
      <c r="J43" s="327">
        <f>('Pivot Table for Data Exchange'!$C$97)*100</f>
        <v>86.170024382602534</v>
      </c>
      <c r="K43" s="327">
        <f>('Pivot Table for Data Exchange'!$C$100)*100</f>
        <v>0</v>
      </c>
      <c r="L43" s="328">
        <f t="shared" si="7"/>
        <v>13.829975617397464</v>
      </c>
      <c r="M43" s="327">
        <f>('Pivot Table for Data Exchange'!$C$103)*100</f>
        <v>13.829975617397464</v>
      </c>
      <c r="N43" s="327">
        <f>('Pivot Table for Data Exchange'!$C$106)*100</f>
        <v>0</v>
      </c>
      <c r="O43" s="335">
        <f>('Pivot Table for Data Exchange'!$C$109)*100</f>
        <v>0</v>
      </c>
      <c r="P43" s="327">
        <f>('Pivot Table for Data Exchange'!$C$112)*100</f>
        <v>0</v>
      </c>
      <c r="Q43" s="332">
        <f t="shared" si="4"/>
        <v>99.999999999999986</v>
      </c>
      <c r="R43" s="332">
        <f t="shared" si="5"/>
        <v>100</v>
      </c>
      <c r="S43" s="381"/>
      <c r="T43" s="385"/>
      <c r="U43" s="381"/>
      <c r="V43" s="381"/>
      <c r="W43" s="381"/>
      <c r="X43" s="381"/>
      <c r="Y43" s="381"/>
      <c r="Z43" s="381"/>
      <c r="AA43" s="381"/>
      <c r="AB43" s="381"/>
      <c r="AC43" s="381"/>
      <c r="AD43" s="381"/>
      <c r="AE43" s="381"/>
      <c r="AF43" s="381"/>
      <c r="AG43" s="381"/>
      <c r="AH43" s="381"/>
      <c r="AI43" s="381"/>
      <c r="AJ43" s="381"/>
      <c r="AK43" s="381"/>
      <c r="AL43" s="381"/>
      <c r="AM43" s="381"/>
      <c r="AN43" s="381"/>
      <c r="AO43" s="381"/>
    </row>
    <row r="44" spans="1:41" ht="15.75" customHeight="1">
      <c r="A44" s="298" t="s">
        <v>865</v>
      </c>
      <c r="B44" s="327">
        <f>('Pivot Table for Data Exchange'!$C$115)*100</f>
        <v>0</v>
      </c>
      <c r="C44" s="327">
        <f>('Pivot Table for Data Exchange'!$C$118)*100</f>
        <v>0</v>
      </c>
      <c r="D44" s="328">
        <f t="shared" si="6"/>
        <v>0</v>
      </c>
      <c r="E44" s="327">
        <f>('Pivot Table for Data Exchange'!$C$121)*100</f>
        <v>0</v>
      </c>
      <c r="F44" s="327">
        <f>('Pivot Table for Data Exchange'!$C$124)*100</f>
        <v>0</v>
      </c>
      <c r="G44" s="335">
        <f>('Pivot Table for Data Exchange'!$C$127)*100</f>
        <v>0</v>
      </c>
      <c r="H44" s="327">
        <f>('Pivot Table for Data Exchange'!$C$130)*100</f>
        <v>0</v>
      </c>
      <c r="I44" s="333" t="s">
        <v>865</v>
      </c>
      <c r="J44" s="327">
        <f>('Pivot Table for Data Exchange'!$C$133)*100</f>
        <v>0</v>
      </c>
      <c r="K44" s="327">
        <f>('Pivot Table for Data Exchange'!$C$136)*100</f>
        <v>0</v>
      </c>
      <c r="L44" s="328">
        <f t="shared" si="7"/>
        <v>0</v>
      </c>
      <c r="M44" s="327">
        <f>('Pivot Table for Data Exchange'!$C$139)*100</f>
        <v>0</v>
      </c>
      <c r="N44" s="327">
        <f>('Pivot Table for Data Exchange'!$C$142)*100</f>
        <v>0</v>
      </c>
      <c r="O44" s="334">
        <f>('Pivot Table for Data Exchange'!$C$145)*100</f>
        <v>0</v>
      </c>
      <c r="P44" s="327">
        <f>('Pivot Table for Data Exchange'!$C$148)*100</f>
        <v>0</v>
      </c>
      <c r="Q44" s="332">
        <f t="shared" si="4"/>
        <v>0</v>
      </c>
      <c r="R44" s="332">
        <f t="shared" si="5"/>
        <v>0</v>
      </c>
      <c r="S44" s="381"/>
      <c r="U44" s="381"/>
      <c r="V44" s="381"/>
      <c r="W44" s="381"/>
      <c r="X44" s="381"/>
      <c r="Y44" s="381"/>
      <c r="Z44" s="381"/>
      <c r="AA44" s="381"/>
      <c r="AB44" s="381"/>
      <c r="AC44" s="381"/>
      <c r="AD44" s="381"/>
      <c r="AE44" s="381"/>
      <c r="AF44" s="381"/>
      <c r="AG44" s="381"/>
      <c r="AH44" s="381"/>
      <c r="AI44" s="381"/>
      <c r="AJ44" s="381"/>
      <c r="AK44" s="381"/>
      <c r="AL44" s="381"/>
      <c r="AM44" s="381"/>
      <c r="AN44" s="381"/>
      <c r="AO44" s="381"/>
    </row>
    <row r="45" spans="1:41" ht="10.5" customHeight="1">
      <c r="B45" s="327"/>
      <c r="C45" s="327"/>
      <c r="D45" s="328"/>
      <c r="E45" s="327"/>
      <c r="F45" s="327"/>
      <c r="G45" s="335"/>
      <c r="H45" s="327"/>
      <c r="I45" s="333"/>
      <c r="J45" s="327"/>
      <c r="K45" s="327"/>
      <c r="L45" s="328"/>
      <c r="M45" s="327"/>
      <c r="N45" s="327"/>
      <c r="O45" s="335"/>
      <c r="P45" s="327"/>
      <c r="Q45" s="332">
        <f t="shared" si="4"/>
        <v>0</v>
      </c>
      <c r="R45" s="332">
        <f t="shared" si="5"/>
        <v>0</v>
      </c>
      <c r="S45" s="381"/>
      <c r="U45" s="381"/>
      <c r="V45" s="381"/>
      <c r="W45" s="381"/>
      <c r="X45" s="381"/>
      <c r="Y45" s="381"/>
      <c r="Z45" s="381"/>
      <c r="AA45" s="381"/>
      <c r="AB45" s="381"/>
      <c r="AC45" s="381"/>
      <c r="AD45" s="381"/>
      <c r="AE45" s="381"/>
      <c r="AF45" s="381"/>
      <c r="AG45" s="381"/>
      <c r="AH45" s="381"/>
      <c r="AI45" s="381"/>
      <c r="AJ45" s="381"/>
      <c r="AK45" s="381"/>
      <c r="AL45" s="381"/>
      <c r="AM45" s="381"/>
      <c r="AN45" s="381"/>
      <c r="AO45" s="381"/>
    </row>
    <row r="46" spans="1:41" ht="15.75" customHeight="1">
      <c r="A46" s="298" t="s">
        <v>829</v>
      </c>
      <c r="B46" s="327">
        <f>('Pivot Table for Data Exchange'!$C$151)*100</f>
        <v>84.783453924052054</v>
      </c>
      <c r="C46" s="327">
        <f>('Pivot Table for Data Exchange'!$C$154)*100</f>
        <v>1.6366502023264098</v>
      </c>
      <c r="D46" s="328">
        <f t="shared" ref="D46:D47" si="8">SUM(E46:G46)</f>
        <v>13.579895873621538</v>
      </c>
      <c r="E46" s="327">
        <f>('Pivot Table for Data Exchange'!$C$157)*100</f>
        <v>13.579895873621538</v>
      </c>
      <c r="F46" s="327">
        <f>('Pivot Table for Data Exchange'!$C$160)*100</f>
        <v>0</v>
      </c>
      <c r="G46" s="335">
        <f>('Pivot Table for Data Exchange'!$C$163)*100</f>
        <v>0</v>
      </c>
      <c r="H46" s="327">
        <f>('Pivot Table for Data Exchange'!$C$166)*100</f>
        <v>0</v>
      </c>
      <c r="I46" s="333" t="s">
        <v>829</v>
      </c>
      <c r="J46" s="327">
        <f>('Pivot Table for Data Exchange'!$C$169)*100</f>
        <v>68.759813351239487</v>
      </c>
      <c r="K46" s="327">
        <f>('Pivot Table for Data Exchange'!$C$172)*100</f>
        <v>25.194850949543735</v>
      </c>
      <c r="L46" s="328">
        <f t="shared" ref="L46:L47" si="9">SUM(M46:O46)</f>
        <v>6.0453356992167793</v>
      </c>
      <c r="M46" s="327">
        <f>('Pivot Table for Data Exchange'!$C$175)*100</f>
        <v>6.0453356992167793</v>
      </c>
      <c r="N46" s="327">
        <f>('Pivot Table for Data Exchange'!$C$178)*100</f>
        <v>0</v>
      </c>
      <c r="O46" s="335">
        <f>('Pivot Table for Data Exchange'!$C$181)*100</f>
        <v>0</v>
      </c>
      <c r="P46" s="327">
        <f>('Pivot Table for Data Exchange'!$C$184)*100</f>
        <v>0</v>
      </c>
      <c r="Q46" s="332">
        <f t="shared" si="4"/>
        <v>100</v>
      </c>
      <c r="R46" s="332">
        <f t="shared" si="5"/>
        <v>100</v>
      </c>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row>
    <row r="47" spans="1:41" ht="15.75" customHeight="1">
      <c r="A47" s="298" t="s">
        <v>830</v>
      </c>
      <c r="B47" s="327">
        <f>('Pivot Table for Data Exchange'!$C$187)*100</f>
        <v>87.05263874367327</v>
      </c>
      <c r="C47" s="327">
        <f>('Pivot Table for Data Exchange'!$C$190)*100</f>
        <v>2.0888360335559941</v>
      </c>
      <c r="D47" s="328">
        <f t="shared" si="8"/>
        <v>10.858525222770734</v>
      </c>
      <c r="E47" s="327">
        <f>('Pivot Table for Data Exchange'!$C$193)*100</f>
        <v>10.694885868404086</v>
      </c>
      <c r="F47" s="327">
        <f>('Pivot Table for Data Exchange'!$C$196)*100</f>
        <v>5.104867207278406E-2</v>
      </c>
      <c r="G47" s="335">
        <f>('Pivot Table for Data Exchange'!$C$199)*100</f>
        <v>0.11259068229386261</v>
      </c>
      <c r="H47" s="327">
        <f>('Pivot Table for Data Exchange'!$C$202)*100</f>
        <v>0</v>
      </c>
      <c r="I47" s="333" t="s">
        <v>830</v>
      </c>
      <c r="J47" s="327">
        <f>('Pivot Table for Data Exchange'!$C$205)*100</f>
        <v>72.33806457906546</v>
      </c>
      <c r="K47" s="327">
        <f>('Pivot Table for Data Exchange'!$C$208)*100</f>
        <v>3.9880255584820992</v>
      </c>
      <c r="L47" s="328">
        <f t="shared" si="9"/>
        <v>23.67390986245244</v>
      </c>
      <c r="M47" s="327">
        <f>('Pivot Table for Data Exchange'!$C$211)*100</f>
        <v>23.501365720417517</v>
      </c>
      <c r="N47" s="327">
        <f>('Pivot Table for Data Exchange'!$C$214)*100</f>
        <v>0</v>
      </c>
      <c r="O47" s="335">
        <f>('Pivot Table for Data Exchange'!$C$217)*100</f>
        <v>0.17254414203492344</v>
      </c>
      <c r="P47" s="327">
        <f>('Pivot Table for Data Exchange'!$C$220)*100</f>
        <v>0</v>
      </c>
      <c r="Q47" s="332">
        <f t="shared" si="4"/>
        <v>100</v>
      </c>
      <c r="R47" s="332">
        <f t="shared" si="5"/>
        <v>100</v>
      </c>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row>
    <row r="48" spans="1:41" ht="15.75" customHeight="1">
      <c r="A48" s="298" t="s">
        <v>831</v>
      </c>
      <c r="B48" s="327">
        <f>('Pivot Table for Data Exchange'!$C$223)*100</f>
        <v>96.402877697841717</v>
      </c>
      <c r="C48" s="327">
        <f>('Pivot Table for Data Exchange'!$C$226)*100</f>
        <v>0</v>
      </c>
      <c r="D48" s="328">
        <f>SUM(E48:G48)</f>
        <v>3.5971223021582803</v>
      </c>
      <c r="E48" s="327">
        <f>('Pivot Table for Data Exchange'!$C$229)*100</f>
        <v>3.5971223021582803</v>
      </c>
      <c r="F48" s="327">
        <f>('Pivot Table for Data Exchange'!$C$232)*100</f>
        <v>0</v>
      </c>
      <c r="G48" s="335">
        <f>('Pivot Table for Data Exchange'!$C$235)*100</f>
        <v>0</v>
      </c>
      <c r="H48" s="327">
        <f>('Pivot Table for Data Exchange'!$C$238)*100</f>
        <v>0</v>
      </c>
      <c r="I48" s="333" t="s">
        <v>831</v>
      </c>
      <c r="J48" s="327">
        <f>('Pivot Table for Data Exchange'!$C$241)*100</f>
        <v>94.141769185705897</v>
      </c>
      <c r="K48" s="327">
        <f>('Pivot Table for Data Exchange'!$C$244)*100</f>
        <v>0</v>
      </c>
      <c r="L48" s="328">
        <f>SUM(M48:O48)</f>
        <v>5.8582308142940986</v>
      </c>
      <c r="M48" s="327">
        <f>('Pivot Table for Data Exchange'!$C$247)*100</f>
        <v>5.8582308142940986</v>
      </c>
      <c r="N48" s="327">
        <f>('Pivot Table for Data Exchange'!$C$250)*100</f>
        <v>0</v>
      </c>
      <c r="O48" s="335">
        <f>('Pivot Table for Data Exchange'!$C$253)*100</f>
        <v>0</v>
      </c>
      <c r="P48" s="327">
        <f>('Pivot Table for Data Exchange'!$C$256)*100</f>
        <v>0</v>
      </c>
      <c r="Q48" s="332">
        <f t="shared" si="4"/>
        <v>100</v>
      </c>
      <c r="R48" s="332">
        <f t="shared" si="5"/>
        <v>100</v>
      </c>
      <c r="S48" s="381"/>
      <c r="T48" s="385"/>
      <c r="U48" s="381"/>
      <c r="V48" s="381"/>
      <c r="W48" s="381"/>
      <c r="X48" s="381"/>
      <c r="Y48" s="381"/>
      <c r="Z48" s="381"/>
      <c r="AA48" s="381"/>
      <c r="AB48" s="381"/>
      <c r="AC48" s="381"/>
      <c r="AD48" s="381"/>
      <c r="AE48" s="381"/>
      <c r="AF48" s="381"/>
      <c r="AG48" s="381"/>
      <c r="AH48" s="381"/>
      <c r="AI48" s="381"/>
      <c r="AJ48" s="381"/>
      <c r="AK48" s="381"/>
      <c r="AL48" s="381"/>
      <c r="AM48" s="381"/>
      <c r="AN48" s="381"/>
      <c r="AO48" s="381"/>
    </row>
    <row r="49" spans="1:41" ht="15.75" customHeight="1">
      <c r="A49" s="298" t="s">
        <v>832</v>
      </c>
      <c r="B49" s="327">
        <f>('Pivot Table for Data Exchange'!$C$259)*100</f>
        <v>93.571228510385154</v>
      </c>
      <c r="C49" s="327">
        <f>('Pivot Table for Data Exchange'!$C$262)*100</f>
        <v>1.7409278930397607</v>
      </c>
      <c r="D49" s="328">
        <f>SUM(E49:G49)</f>
        <v>4.6878435965750871</v>
      </c>
      <c r="E49" s="327">
        <f>('Pivot Table for Data Exchange'!$C$265)*100</f>
        <v>4.5770825279911849</v>
      </c>
      <c r="F49" s="327">
        <f>('Pivot Table for Data Exchange'!$C$268)*100</f>
        <v>0.11076106858390179</v>
      </c>
      <c r="G49" s="335">
        <f>('Pivot Table for Data Exchange'!$C$271)*100</f>
        <v>0</v>
      </c>
      <c r="H49" s="327">
        <f>('Pivot Table for Data Exchange'!$C$274)*100</f>
        <v>0</v>
      </c>
      <c r="I49" s="333" t="s">
        <v>832</v>
      </c>
      <c r="J49" s="327">
        <f>('Pivot Table for Data Exchange'!$C$277)*100</f>
        <v>76.953117630412223</v>
      </c>
      <c r="K49" s="327">
        <f>('Pivot Table for Data Exchange'!$C$280)*100</f>
        <v>10.636732383737384</v>
      </c>
      <c r="L49" s="328">
        <f>SUM(M49:O49)</f>
        <v>12.410149985850392</v>
      </c>
      <c r="M49" s="327">
        <f>('Pivot Table for Data Exchange'!$C$283)*100</f>
        <v>12.090683268874006</v>
      </c>
      <c r="N49" s="327">
        <f>('Pivot Table for Data Exchange'!$C$286)*100</f>
        <v>0.3194667169763859</v>
      </c>
      <c r="O49" s="335">
        <f>('Pivot Table for Data Exchange'!$C$289)*100</f>
        <v>0</v>
      </c>
      <c r="P49" s="327">
        <f>('Pivot Table for Data Exchange'!$C$292)*100</f>
        <v>0</v>
      </c>
      <c r="Q49" s="332">
        <f t="shared" si="4"/>
        <v>100.00000000000001</v>
      </c>
      <c r="R49" s="332">
        <f t="shared" si="5"/>
        <v>100</v>
      </c>
      <c r="S49" s="381"/>
      <c r="U49" s="381"/>
      <c r="V49" s="381"/>
      <c r="W49" s="381"/>
      <c r="X49" s="381"/>
      <c r="Y49" s="381"/>
      <c r="Z49" s="381"/>
      <c r="AA49" s="381"/>
      <c r="AB49" s="381"/>
      <c r="AC49" s="381"/>
      <c r="AD49" s="381"/>
      <c r="AE49" s="381"/>
      <c r="AF49" s="381"/>
      <c r="AG49" s="381"/>
      <c r="AH49" s="381"/>
      <c r="AI49" s="381"/>
      <c r="AJ49" s="381"/>
      <c r="AK49" s="381"/>
      <c r="AL49" s="381"/>
      <c r="AM49" s="381"/>
      <c r="AN49" s="381"/>
      <c r="AO49" s="381"/>
    </row>
    <row r="50" spans="1:41" ht="12" customHeight="1">
      <c r="B50" s="327"/>
      <c r="C50" s="327"/>
      <c r="D50" s="328"/>
      <c r="E50" s="327"/>
      <c r="F50" s="327"/>
      <c r="G50" s="335"/>
      <c r="H50" s="327"/>
      <c r="I50" s="333"/>
      <c r="J50" s="327"/>
      <c r="K50" s="327"/>
      <c r="L50" s="328"/>
      <c r="M50" s="327"/>
      <c r="N50" s="327"/>
      <c r="O50" s="335"/>
      <c r="P50" s="327"/>
      <c r="Q50" s="332">
        <f t="shared" si="4"/>
        <v>0</v>
      </c>
      <c r="R50" s="332">
        <f t="shared" si="5"/>
        <v>0</v>
      </c>
      <c r="S50" s="381"/>
      <c r="U50" s="381"/>
      <c r="V50" s="381"/>
      <c r="W50" s="381"/>
      <c r="X50" s="381"/>
      <c r="Y50" s="381"/>
      <c r="Z50" s="381"/>
      <c r="AA50" s="381"/>
      <c r="AB50" s="381"/>
      <c r="AC50" s="381"/>
      <c r="AD50" s="381"/>
      <c r="AE50" s="381"/>
      <c r="AF50" s="381"/>
      <c r="AG50" s="381"/>
      <c r="AH50" s="381"/>
      <c r="AI50" s="381"/>
      <c r="AJ50" s="381"/>
      <c r="AK50" s="381"/>
      <c r="AL50" s="381"/>
      <c r="AM50" s="381"/>
      <c r="AN50" s="381"/>
      <c r="AO50" s="381"/>
    </row>
    <row r="51" spans="1:41" ht="15.75" customHeight="1">
      <c r="A51" s="298" t="s">
        <v>833</v>
      </c>
      <c r="B51" s="327">
        <f>('Pivot Table for Data Exchange'!$C$295)*100</f>
        <v>79.963488708531898</v>
      </c>
      <c r="C51" s="327">
        <f>('Pivot Table for Data Exchange'!$C$298)*100</f>
        <v>4.7892512347216281</v>
      </c>
      <c r="D51" s="328">
        <f>SUM(E51:G51)</f>
        <v>14.935573108788182</v>
      </c>
      <c r="E51" s="327">
        <f>('Pivot Table for Data Exchange'!$C$301)*100</f>
        <v>13.954678035825907</v>
      </c>
      <c r="F51" s="327">
        <f>('Pivot Table for Data Exchange'!$C$304)*100</f>
        <v>0.9804693680481501</v>
      </c>
      <c r="G51" s="338">
        <f>('Pivot Table for Data Exchange'!$C$307)*100</f>
        <v>4.2570491412467624E-4</v>
      </c>
      <c r="H51" s="327">
        <f>('Pivot Table for Data Exchange'!$C$310)*100</f>
        <v>0.31168694795828372</v>
      </c>
      <c r="I51" s="333" t="s">
        <v>833</v>
      </c>
      <c r="J51" s="327">
        <f>('Pivot Table for Data Exchange'!$C$313)*100</f>
        <v>71.888324347340742</v>
      </c>
      <c r="K51" s="327">
        <f>('Pivot Table for Data Exchange'!$C$316)*100</f>
        <v>3.9893203827630055</v>
      </c>
      <c r="L51" s="328">
        <f>SUM(M51:O51)</f>
        <v>24.090132286853599</v>
      </c>
      <c r="M51" s="327">
        <f>('Pivot Table for Data Exchange'!$C$319)*100</f>
        <v>23.015265638216459</v>
      </c>
      <c r="N51" s="327">
        <f>('Pivot Table for Data Exchange'!$C$322)*100</f>
        <v>1.0748666486371403</v>
      </c>
      <c r="O51" s="335">
        <f>('Pivot Table for Data Exchange'!$C$325)*100</f>
        <v>0</v>
      </c>
      <c r="P51" s="339">
        <f>('Pivot Table for Data Exchange'!$C$328)*100</f>
        <v>3.2222983042655175E-2</v>
      </c>
      <c r="Q51" s="332">
        <f t="shared" si="4"/>
        <v>99.999999999999986</v>
      </c>
      <c r="R51" s="332">
        <f t="shared" si="5"/>
        <v>100.00000000000001</v>
      </c>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row>
    <row r="52" spans="1:41" ht="15.75" customHeight="1">
      <c r="A52" s="298" t="s">
        <v>834</v>
      </c>
      <c r="B52" s="327">
        <f>('Pivot Table for Data Exchange'!$C$331)*100</f>
        <v>84.818947893459807</v>
      </c>
      <c r="C52" s="327">
        <f>('Pivot Table for Data Exchange'!$C$334)*100</f>
        <v>0.91408105202313106</v>
      </c>
      <c r="D52" s="328">
        <f>SUM(E52:G52)</f>
        <v>14.266971054517064</v>
      </c>
      <c r="E52" s="327">
        <f>('Pivot Table for Data Exchange'!$C$337)*100</f>
        <v>14.259881275392877</v>
      </c>
      <c r="F52" s="339">
        <f>('Pivot Table for Data Exchange'!$C$340)*100</f>
        <v>4.0870491421784311E-3</v>
      </c>
      <c r="G52" s="334">
        <f>('Pivot Table for Data Exchange'!$C$343)*100</f>
        <v>3.0027299820086428E-3</v>
      </c>
      <c r="H52" s="327">
        <f>('Pivot Table for Data Exchange'!$C$346)*100</f>
        <v>0</v>
      </c>
      <c r="I52" s="333" t="s">
        <v>834</v>
      </c>
      <c r="J52" s="327">
        <f>('Pivot Table for Data Exchange'!$C$349)*100</f>
        <v>79.535094063118365</v>
      </c>
      <c r="K52" s="327">
        <f>('Pivot Table for Data Exchange'!$C$352)*100</f>
        <v>1.8835521683461722</v>
      </c>
      <c r="L52" s="328">
        <f>SUM(M52:O52)</f>
        <v>18.581353768535461</v>
      </c>
      <c r="M52" s="327">
        <f>('Pivot Table for Data Exchange'!$C$355)*100</f>
        <v>18.55731085766406</v>
      </c>
      <c r="N52" s="339">
        <f>('Pivot Table for Data Exchange'!$C$358)*100</f>
        <v>2.4042910871402864E-2</v>
      </c>
      <c r="O52" s="335">
        <f>('Pivot Table for Data Exchange'!$C$361)*100</f>
        <v>0</v>
      </c>
      <c r="P52" s="327">
        <f>('Pivot Table for Data Exchange'!$C$364)*100</f>
        <v>0</v>
      </c>
      <c r="Q52" s="332">
        <f t="shared" si="4"/>
        <v>100</v>
      </c>
      <c r="R52" s="332">
        <f t="shared" si="5"/>
        <v>100</v>
      </c>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row>
    <row r="53" spans="1:41" ht="15.75" customHeight="1">
      <c r="A53" s="298" t="s">
        <v>835</v>
      </c>
      <c r="B53" s="327">
        <f>('Pivot Table for Data Exchange'!$C$367)*100</f>
        <v>84.380675355979847</v>
      </c>
      <c r="C53" s="327">
        <f>('Pivot Table for Data Exchange'!$C$370)*100</f>
        <v>1.209694108142382</v>
      </c>
      <c r="D53" s="328">
        <f>SUM(E53:G53)</f>
        <v>14.409630535877769</v>
      </c>
      <c r="E53" s="327">
        <f>('Pivot Table for Data Exchange'!$C$373)*100</f>
        <v>14.331572403677258</v>
      </c>
      <c r="F53" s="327">
        <f>('Pivot Table for Data Exchange'!$C$376)*100</f>
        <v>1.614139531187659E-2</v>
      </c>
      <c r="G53" s="335">
        <f>('Pivot Table for Data Exchange'!$C$379)*100</f>
        <v>6.1916736888634305E-2</v>
      </c>
      <c r="H53" s="327">
        <f>('Pivot Table for Data Exchange'!$C$382)*100</f>
        <v>0</v>
      </c>
      <c r="I53" s="333" t="s">
        <v>835</v>
      </c>
      <c r="J53" s="327">
        <f>('Pivot Table for Data Exchange'!$C$385)*100</f>
        <v>75.929196156680618</v>
      </c>
      <c r="K53" s="327">
        <f>('Pivot Table for Data Exchange'!$C$388)*100</f>
        <v>6.7373963504224781</v>
      </c>
      <c r="L53" s="328">
        <f>SUM(M53:O53)</f>
        <v>21.490514528322002</v>
      </c>
      <c r="M53" s="327">
        <f>('Pivot Table for Data Exchange'!$C$391)*100</f>
        <v>20.576034410037497</v>
      </c>
      <c r="N53" s="327">
        <f>('Pivot Table for Data Exchange'!$C$394)*100</f>
        <v>0.12097278807514217</v>
      </c>
      <c r="O53" s="335">
        <f>('Pivot Table for Data Exchange'!$C$397)*100</f>
        <v>0.79350733020936171</v>
      </c>
      <c r="P53" s="327">
        <f>('Pivot Table for Data Exchange'!$C$400)*100</f>
        <v>0</v>
      </c>
      <c r="Q53" s="332">
        <f t="shared" si="4"/>
        <v>100</v>
      </c>
      <c r="R53" s="332">
        <f t="shared" si="5"/>
        <v>104.1571070354251</v>
      </c>
      <c r="S53" s="381"/>
      <c r="T53" s="385"/>
      <c r="U53" s="381"/>
      <c r="V53" s="381"/>
      <c r="W53" s="381"/>
      <c r="X53" s="381"/>
      <c r="Y53" s="381"/>
      <c r="Z53" s="381"/>
      <c r="AA53" s="381"/>
      <c r="AB53" s="381"/>
      <c r="AC53" s="381"/>
      <c r="AD53" s="381"/>
      <c r="AE53" s="381"/>
      <c r="AF53" s="381"/>
      <c r="AG53" s="381"/>
      <c r="AH53" s="381"/>
      <c r="AI53" s="381"/>
      <c r="AJ53" s="381"/>
      <c r="AK53" s="381"/>
      <c r="AL53" s="381"/>
      <c r="AM53" s="381"/>
      <c r="AN53" s="381"/>
      <c r="AO53" s="381"/>
    </row>
    <row r="54" spans="1:41" ht="15.75" customHeight="1">
      <c r="A54" s="298" t="s">
        <v>836</v>
      </c>
      <c r="B54" s="327">
        <f>('Pivot Table for Data Exchange'!$C$403)*100</f>
        <v>88.042748057019111</v>
      </c>
      <c r="C54" s="327">
        <f>('Pivot Table for Data Exchange'!$C$406)*100</f>
        <v>1.593955752632112</v>
      </c>
      <c r="D54" s="328">
        <f>SUM(E54:G54)</f>
        <v>10.36329619034877</v>
      </c>
      <c r="E54" s="327">
        <f>('Pivot Table for Data Exchange'!$C$409)*100</f>
        <v>10.359261217754728</v>
      </c>
      <c r="F54" s="327">
        <f>('Pivot Table for Data Exchange'!$C$412)*100</f>
        <v>4.0349725940414076E-3</v>
      </c>
      <c r="G54" s="335">
        <f>('Pivot Table for Data Exchange'!$C$415)*100</f>
        <v>0</v>
      </c>
      <c r="H54" s="327">
        <f>('Pivot Table for Data Exchange'!$C$418)*100</f>
        <v>0</v>
      </c>
      <c r="I54" s="333" t="s">
        <v>836</v>
      </c>
      <c r="J54" s="327">
        <f>('Pivot Table for Data Exchange'!$C$421)*100</f>
        <v>64.692885885657887</v>
      </c>
      <c r="K54" s="327">
        <f>('Pivot Table for Data Exchange'!$C$424)*100</f>
        <v>11.366638827727584</v>
      </c>
      <c r="L54" s="328">
        <f>SUM(M54:O54)</f>
        <v>23.940475286614532</v>
      </c>
      <c r="M54" s="327">
        <f>('Pivot Table for Data Exchange'!$C$427)*100</f>
        <v>19.391466099764635</v>
      </c>
      <c r="N54" s="327">
        <f>('Pivot Table for Data Exchange'!$C$430)*100</f>
        <v>4.5490091868498981</v>
      </c>
      <c r="O54" s="335">
        <f>('Pivot Table for Data Exchange'!$C$433)*100</f>
        <v>0</v>
      </c>
      <c r="P54" s="327">
        <f>('Pivot Table for Data Exchange'!$C$436)*100</f>
        <v>0</v>
      </c>
      <c r="Q54" s="332">
        <f t="shared" si="4"/>
        <v>100</v>
      </c>
      <c r="R54" s="332">
        <f t="shared" si="5"/>
        <v>100</v>
      </c>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row>
    <row r="55" spans="1:41" ht="14.25" customHeight="1">
      <c r="B55" s="327"/>
      <c r="C55" s="327"/>
      <c r="D55" s="328"/>
      <c r="E55" s="327"/>
      <c r="F55" s="327"/>
      <c r="G55" s="335"/>
      <c r="H55" s="327"/>
      <c r="I55" s="333"/>
      <c r="J55" s="327"/>
      <c r="K55" s="327"/>
      <c r="L55" s="328"/>
      <c r="M55" s="327"/>
      <c r="N55" s="327"/>
      <c r="O55" s="335"/>
      <c r="P55" s="327"/>
      <c r="Q55" s="332">
        <f t="shared" si="4"/>
        <v>0</v>
      </c>
      <c r="R55" s="332">
        <f t="shared" si="5"/>
        <v>0</v>
      </c>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row>
    <row r="56" spans="1:41" ht="15.75" customHeight="1">
      <c r="A56" s="298" t="s">
        <v>837</v>
      </c>
      <c r="B56" s="327">
        <f>('Pivot Table for Data Exchange'!$C$439)*100</f>
        <v>81.922754377625523</v>
      </c>
      <c r="C56" s="327">
        <f>('Pivot Table for Data Exchange'!$C$442)*100</f>
        <v>1.8492110419347734</v>
      </c>
      <c r="D56" s="328">
        <f>SUM(E56:G56)</f>
        <v>15.717134476481977</v>
      </c>
      <c r="E56" s="327">
        <f>('Pivot Table for Data Exchange'!$C$445)*100</f>
        <v>12.182861272458156</v>
      </c>
      <c r="F56" s="354">
        <f>('Pivot Table for Data Exchange'!$C$448)*100</f>
        <v>1.3332869581347896E-2</v>
      </c>
      <c r="G56" s="335">
        <f>('Pivot Table for Data Exchange'!$C$451)*100</f>
        <v>3.5209403344424732</v>
      </c>
      <c r="H56" s="327">
        <f>('Pivot Table for Data Exchange'!$C$454)*100</f>
        <v>0.51090010395773677</v>
      </c>
      <c r="I56" s="333" t="s">
        <v>837</v>
      </c>
      <c r="J56" s="327">
        <f>('Pivot Table for Data Exchange'!$C$457)*100</f>
        <v>67.444735311227461</v>
      </c>
      <c r="K56" s="327">
        <f>('Pivot Table for Data Exchange'!$C$460)*100</f>
        <v>1.5363054630070336</v>
      </c>
      <c r="L56" s="328">
        <f>SUM(M56:O56)</f>
        <v>27.504098577397006</v>
      </c>
      <c r="M56" s="327">
        <f>('Pivot Table for Data Exchange'!$C$463)*100</f>
        <v>24.457269025331851</v>
      </c>
      <c r="N56" s="327">
        <f>('Pivot Table for Data Exchange'!$C$466)*100</f>
        <v>0.10907504363001745</v>
      </c>
      <c r="O56" s="335">
        <f>('Pivot Table for Data Exchange'!$C$469)*100</f>
        <v>2.9377545084351366</v>
      </c>
      <c r="P56" s="327">
        <f>('Pivot Table for Data Exchange'!$C$472)*100</f>
        <v>3.5148606483685016</v>
      </c>
      <c r="Q56" s="332">
        <f t="shared" si="4"/>
        <v>100.00000000000001</v>
      </c>
      <c r="R56" s="332">
        <f t="shared" si="5"/>
        <v>100</v>
      </c>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row>
    <row r="57" spans="1:41" ht="15.75" customHeight="1">
      <c r="A57" s="298" t="s">
        <v>838</v>
      </c>
      <c r="B57" s="327">
        <f>('Pivot Table for Data Exchange'!$C$475)*100</f>
        <v>81.014303678021264</v>
      </c>
      <c r="C57" s="327">
        <f>('Pivot Table for Data Exchange'!$C$478)*100</f>
        <v>0.90881925095081317</v>
      </c>
      <c r="D57" s="328">
        <f>SUM(E57:G57)</f>
        <v>18.076877071027926</v>
      </c>
      <c r="E57" s="327">
        <f>('Pivot Table for Data Exchange'!$C$481)*100</f>
        <v>17.412018782321685</v>
      </c>
      <c r="F57" s="327">
        <f>('Pivot Table for Data Exchange'!$C$484)*100</f>
        <v>0.50605715154604602</v>
      </c>
      <c r="G57" s="335">
        <f>('Pivot Table for Data Exchange'!$C$487)*100</f>
        <v>0.15880113716019495</v>
      </c>
      <c r="H57" s="327">
        <f>('Pivot Table for Data Exchange'!$C$490)*100</f>
        <v>0</v>
      </c>
      <c r="I57" s="333" t="s">
        <v>838</v>
      </c>
      <c r="J57" s="327">
        <f>('Pivot Table for Data Exchange'!$C$493)*100</f>
        <v>76.488572798219366</v>
      </c>
      <c r="K57" s="327">
        <f>('Pivot Table for Data Exchange'!$C$496)*100</f>
        <v>1.5830223549885243</v>
      </c>
      <c r="L57" s="328">
        <f>SUM(M57:O57)</f>
        <v>21.928404846792105</v>
      </c>
      <c r="M57" s="327">
        <f>('Pivot Table for Data Exchange'!$C$499)*100</f>
        <v>21.413806976088193</v>
      </c>
      <c r="N57" s="327">
        <f>('Pivot Table for Data Exchange'!$C$502)*100</f>
        <v>0.14951623021800081</v>
      </c>
      <c r="O57" s="335">
        <f>('Pivot Table for Data Exchange'!$C$505)*100</f>
        <v>0.36508164048591235</v>
      </c>
      <c r="P57" s="327">
        <f>('Pivot Table for Data Exchange'!$C$508)*100</f>
        <v>0</v>
      </c>
      <c r="Q57" s="332">
        <f t="shared" si="4"/>
        <v>100</v>
      </c>
      <c r="R57" s="332">
        <f t="shared" si="5"/>
        <v>100</v>
      </c>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row>
    <row r="58" spans="1:41" ht="15.75" customHeight="1">
      <c r="A58" s="298" t="s">
        <v>839</v>
      </c>
      <c r="B58" s="327">
        <f>('Pivot Table for Data Exchange'!$C$511)*100</f>
        <v>88.057715238799261</v>
      </c>
      <c r="C58" s="327">
        <f>('Pivot Table for Data Exchange'!$C$514)*100</f>
        <v>1.278861643654122</v>
      </c>
      <c r="D58" s="328">
        <f>SUM(E58:G58)</f>
        <v>10.663423117546616</v>
      </c>
      <c r="E58" s="327">
        <f>('Pivot Table for Data Exchange'!$C$517)*100</f>
        <v>9.7699767088532354</v>
      </c>
      <c r="F58" s="327">
        <f>('Pivot Table for Data Exchange'!$C$520)*100</f>
        <v>0.89134141403635203</v>
      </c>
      <c r="G58" s="335">
        <f>('Pivot Table for Data Exchange'!$C$523)*100</f>
        <v>2.1049946570282675E-3</v>
      </c>
      <c r="H58" s="327">
        <f>('Pivot Table for Data Exchange'!$C$526)*100</f>
        <v>0</v>
      </c>
      <c r="I58" s="333" t="s">
        <v>839</v>
      </c>
      <c r="J58" s="327">
        <f>('Pivot Table for Data Exchange'!$C$529)*100</f>
        <v>78.038644267377308</v>
      </c>
      <c r="K58" s="327">
        <f>('Pivot Table for Data Exchange'!$C$532)*100</f>
        <v>6.5928787838239451</v>
      </c>
      <c r="L58" s="328">
        <f>SUM(M58:O58)</f>
        <v>15.36847694879874</v>
      </c>
      <c r="M58" s="327">
        <f>('Pivot Table for Data Exchange'!$C$535)*100</f>
        <v>11.958933071160047</v>
      </c>
      <c r="N58" s="327">
        <f>('Pivot Table for Data Exchange'!$C$538)*100</f>
        <v>3.1926311652860786</v>
      </c>
      <c r="O58" s="335">
        <f>('Pivot Table for Data Exchange'!$C$541)*100</f>
        <v>0.21691271235261558</v>
      </c>
      <c r="P58" s="327">
        <f>('Pivot Table for Data Exchange'!$C$544)*100</f>
        <v>0</v>
      </c>
      <c r="Q58" s="332">
        <f t="shared" si="4"/>
        <v>100</v>
      </c>
      <c r="R58" s="332">
        <f t="shared" si="5"/>
        <v>100</v>
      </c>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row>
    <row r="59" spans="1:41" ht="15.75" customHeight="1">
      <c r="A59" s="304" t="s">
        <v>840</v>
      </c>
      <c r="B59" s="340">
        <f>('Pivot Table for Data Exchange'!$C$547)*100</f>
        <v>87.792328158582279</v>
      </c>
      <c r="C59" s="340">
        <f>('Pivot Table for Data Exchange'!$C$550)*100</f>
        <v>0.53148395241253121</v>
      </c>
      <c r="D59" s="341">
        <f>SUM(E59:G59)</f>
        <v>11.676187889005185</v>
      </c>
      <c r="E59" s="340">
        <f>('Pivot Table for Data Exchange'!$C$553)*100</f>
        <v>11.295552057782499</v>
      </c>
      <c r="F59" s="355">
        <f>('Pivot Table for Data Exchange'!$C$556)*100</f>
        <v>0</v>
      </c>
      <c r="G59" s="342">
        <f>('Pivot Table for Data Exchange'!$C$559)*100</f>
        <v>0.38063583122268474</v>
      </c>
      <c r="H59" s="340">
        <f>('Pivot Table for Data Exchange'!$C$562)*100</f>
        <v>0</v>
      </c>
      <c r="I59" s="343" t="s">
        <v>840</v>
      </c>
      <c r="J59" s="340">
        <f>('Pivot Table for Data Exchange'!$C$565)*100</f>
        <v>67.397260273972606</v>
      </c>
      <c r="K59" s="340">
        <f>('Pivot Table for Data Exchange'!$C$568)*100</f>
        <v>3.9888553517529601</v>
      </c>
      <c r="L59" s="341">
        <f>SUM(M59:O59)</f>
        <v>28.613884374274434</v>
      </c>
      <c r="M59" s="340">
        <f>('Pivot Table for Data Exchange'!$C$571)*100</f>
        <v>27.917343858834453</v>
      </c>
      <c r="N59" s="340">
        <f>('Pivot Table for Data Exchange'!$C$574)*100</f>
        <v>0</v>
      </c>
      <c r="O59" s="342">
        <f>('Pivot Table for Data Exchange'!$C$577)*100</f>
        <v>0.69654051543998141</v>
      </c>
      <c r="P59" s="340">
        <f>('Pivot Table for Data Exchange'!$C$580)*100</f>
        <v>0</v>
      </c>
      <c r="Q59" s="332">
        <f t="shared" si="4"/>
        <v>100</v>
      </c>
      <c r="R59" s="332">
        <f t="shared" si="5"/>
        <v>100</v>
      </c>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row>
    <row r="60" spans="1:41" s="371" customFormat="1" ht="12" customHeight="1">
      <c r="A60" s="346" t="s">
        <v>866</v>
      </c>
      <c r="B60" s="347"/>
      <c r="C60" s="347"/>
      <c r="D60" s="348"/>
      <c r="E60" s="347"/>
      <c r="F60" s="348"/>
      <c r="G60" s="348"/>
      <c r="H60" s="347"/>
      <c r="I60" s="346" t="s">
        <v>866</v>
      </c>
      <c r="J60" s="347"/>
      <c r="K60" s="347"/>
      <c r="L60" s="348"/>
      <c r="M60" s="347"/>
      <c r="N60" s="348"/>
      <c r="O60" s="348"/>
      <c r="P60" s="347"/>
      <c r="Q60" s="332">
        <f t="shared" si="4"/>
        <v>0</v>
      </c>
      <c r="R60" s="332">
        <f t="shared" si="5"/>
        <v>0</v>
      </c>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row>
    <row r="61" spans="1:41" s="371" customFormat="1" ht="24" customHeight="1">
      <c r="A61" s="455" t="s">
        <v>867</v>
      </c>
      <c r="B61" s="456"/>
      <c r="C61" s="456"/>
      <c r="D61" s="456"/>
      <c r="E61" s="456"/>
      <c r="F61" s="456"/>
      <c r="G61" s="456"/>
      <c r="H61" s="456"/>
      <c r="I61" s="455" t="s">
        <v>867</v>
      </c>
      <c r="J61" s="456"/>
      <c r="K61" s="456"/>
      <c r="L61" s="456"/>
      <c r="M61" s="456"/>
      <c r="N61" s="456"/>
      <c r="O61" s="456"/>
      <c r="P61" s="456"/>
      <c r="Q61" s="332">
        <f t="shared" si="4"/>
        <v>0</v>
      </c>
      <c r="R61" s="332">
        <f t="shared" si="5"/>
        <v>0</v>
      </c>
    </row>
    <row r="62" spans="1:41" s="371" customFormat="1" ht="13.5" customHeight="1">
      <c r="A62" s="465"/>
      <c r="B62" s="466"/>
      <c r="C62" s="466"/>
      <c r="D62" s="466"/>
      <c r="E62" s="466"/>
      <c r="F62" s="466"/>
      <c r="G62" s="466"/>
      <c r="H62" s="466"/>
      <c r="I62" s="465"/>
      <c r="J62" s="466"/>
      <c r="K62" s="466"/>
      <c r="L62" s="466"/>
      <c r="M62" s="466"/>
      <c r="N62" s="466"/>
      <c r="O62" s="466"/>
      <c r="P62" s="466"/>
      <c r="Q62" s="332">
        <f t="shared" si="4"/>
        <v>0</v>
      </c>
      <c r="R62" s="332">
        <f t="shared" si="5"/>
        <v>0</v>
      </c>
    </row>
    <row r="63" spans="1:41" s="371" customFormat="1" ht="13.5" customHeight="1">
      <c r="A63" s="345"/>
      <c r="B63" s="345"/>
      <c r="C63" s="345"/>
      <c r="D63" s="345"/>
      <c r="E63" s="345"/>
      <c r="F63" s="345"/>
      <c r="G63" s="345"/>
      <c r="H63" s="351" t="s">
        <v>980</v>
      </c>
      <c r="I63" s="345"/>
      <c r="J63" s="345"/>
      <c r="K63" s="345"/>
      <c r="L63" s="345"/>
      <c r="M63" s="345"/>
      <c r="N63" s="345"/>
      <c r="O63" s="345"/>
      <c r="P63" s="351" t="s">
        <v>980</v>
      </c>
      <c r="Q63" s="332">
        <f t="shared" si="4"/>
        <v>0</v>
      </c>
      <c r="R63" s="332">
        <f t="shared" si="5"/>
        <v>0</v>
      </c>
    </row>
    <row r="64" spans="1:41" ht="18">
      <c r="A64" s="293" t="s">
        <v>868</v>
      </c>
      <c r="B64" s="294"/>
      <c r="C64" s="294"/>
      <c r="D64" s="294"/>
      <c r="E64" s="294"/>
      <c r="F64" s="294"/>
      <c r="G64" s="294"/>
      <c r="H64" s="294"/>
      <c r="I64" s="293" t="s">
        <v>869</v>
      </c>
      <c r="J64" s="295"/>
      <c r="K64" s="295"/>
      <c r="L64" s="294"/>
      <c r="M64" s="295"/>
      <c r="N64" s="295"/>
      <c r="O64" s="295"/>
      <c r="P64" s="295"/>
      <c r="Q64" s="332">
        <f t="shared" si="4"/>
        <v>0</v>
      </c>
      <c r="R64" s="332">
        <f t="shared" si="5"/>
        <v>0</v>
      </c>
    </row>
    <row r="65" spans="1:41">
      <c r="A65" s="299"/>
      <c r="B65" s="295"/>
      <c r="C65" s="295"/>
      <c r="D65" s="295"/>
      <c r="E65" s="295"/>
      <c r="F65" s="295"/>
      <c r="G65" s="295"/>
      <c r="H65" s="295"/>
      <c r="I65" s="299"/>
      <c r="J65" s="295"/>
      <c r="K65" s="295"/>
      <c r="L65" s="295"/>
      <c r="M65" s="295"/>
      <c r="N65" s="295"/>
      <c r="O65" s="295"/>
      <c r="P65" s="295"/>
      <c r="Q65" s="332">
        <f t="shared" si="4"/>
        <v>0</v>
      </c>
      <c r="R65" s="332">
        <f t="shared" si="5"/>
        <v>0</v>
      </c>
    </row>
    <row r="66" spans="1:41" ht="15.75">
      <c r="A66" s="301" t="s">
        <v>846</v>
      </c>
      <c r="B66" s="295"/>
      <c r="C66" s="295"/>
      <c r="D66" s="295"/>
      <c r="E66" s="295"/>
      <c r="F66" s="295"/>
      <c r="G66" s="295"/>
      <c r="H66" s="295"/>
      <c r="I66" s="301" t="s">
        <v>847</v>
      </c>
      <c r="J66" s="295"/>
      <c r="K66" s="295"/>
      <c r="L66" s="295"/>
      <c r="M66" s="295"/>
      <c r="N66" s="295"/>
      <c r="O66" s="295"/>
      <c r="P66" s="295"/>
      <c r="Q66" s="332">
        <f t="shared" si="4"/>
        <v>0</v>
      </c>
      <c r="R66" s="332">
        <f t="shared" si="5"/>
        <v>0</v>
      </c>
    </row>
    <row r="67" spans="1:41" ht="15.75">
      <c r="A67" s="301" t="s">
        <v>983</v>
      </c>
      <c r="B67" s="295"/>
      <c r="C67" s="295"/>
      <c r="D67" s="295"/>
      <c r="E67" s="295"/>
      <c r="F67" s="295"/>
      <c r="G67" s="295"/>
      <c r="H67" s="295"/>
      <c r="I67" s="301" t="s">
        <v>983</v>
      </c>
      <c r="J67" s="295"/>
      <c r="K67" s="295"/>
      <c r="L67" s="295"/>
      <c r="M67" s="295"/>
      <c r="N67" s="295"/>
      <c r="O67" s="295"/>
      <c r="P67" s="295"/>
      <c r="Q67" s="332">
        <f t="shared" si="4"/>
        <v>0</v>
      </c>
      <c r="R67" s="332">
        <f t="shared" si="5"/>
        <v>0</v>
      </c>
    </row>
    <row r="68" spans="1:41">
      <c r="A68" s="304"/>
      <c r="B68" s="305"/>
      <c r="C68" s="305"/>
      <c r="D68" s="305"/>
      <c r="E68" s="305"/>
      <c r="F68" s="305"/>
      <c r="G68" s="305"/>
      <c r="H68" s="305"/>
      <c r="I68" s="306"/>
      <c r="L68" s="307"/>
      <c r="P68" s="304"/>
      <c r="Q68" s="332">
        <f t="shared" si="4"/>
        <v>0</v>
      </c>
      <c r="R68" s="332">
        <f t="shared" si="5"/>
        <v>0</v>
      </c>
    </row>
    <row r="69" spans="1:41" s="325" customFormat="1">
      <c r="A69" s="309"/>
      <c r="B69" s="310" t="s">
        <v>848</v>
      </c>
      <c r="C69" s="310"/>
      <c r="D69" s="310"/>
      <c r="E69" s="310"/>
      <c r="F69" s="310"/>
      <c r="G69" s="310"/>
      <c r="H69" s="311"/>
      <c r="I69" s="309"/>
      <c r="J69" s="310" t="s">
        <v>848</v>
      </c>
      <c r="K69" s="310"/>
      <c r="L69" s="310"/>
      <c r="M69" s="310"/>
      <c r="N69" s="310"/>
      <c r="O69" s="310"/>
      <c r="P69" s="311"/>
      <c r="Q69" s="332">
        <f t="shared" si="4"/>
        <v>0</v>
      </c>
      <c r="R69" s="332">
        <f t="shared" si="5"/>
        <v>0</v>
      </c>
    </row>
    <row r="70" spans="1:41" s="325" customFormat="1">
      <c r="A70" s="309"/>
      <c r="B70" s="310" t="s">
        <v>849</v>
      </c>
      <c r="C70" s="310"/>
      <c r="D70" s="450" t="s">
        <v>850</v>
      </c>
      <c r="E70" s="448"/>
      <c r="F70" s="448"/>
      <c r="G70" s="448"/>
      <c r="H70" s="317" t="s">
        <v>740</v>
      </c>
      <c r="I70" s="309"/>
      <c r="J70" s="310" t="s">
        <v>849</v>
      </c>
      <c r="K70" s="310"/>
      <c r="L70" s="450" t="s">
        <v>850</v>
      </c>
      <c r="M70" s="448"/>
      <c r="N70" s="448"/>
      <c r="O70" s="448"/>
      <c r="P70" s="317" t="s">
        <v>740</v>
      </c>
      <c r="Q70" s="332">
        <f t="shared" si="4"/>
        <v>0</v>
      </c>
      <c r="R70" s="332">
        <f t="shared" si="5"/>
        <v>0</v>
      </c>
    </row>
    <row r="71" spans="1:41" s="325" customFormat="1" ht="40.5" customHeight="1">
      <c r="A71" s="309"/>
      <c r="B71" s="318" t="s">
        <v>851</v>
      </c>
      <c r="C71" s="319" t="s">
        <v>852</v>
      </c>
      <c r="D71" s="320" t="s">
        <v>853</v>
      </c>
      <c r="E71" s="321" t="s">
        <v>8</v>
      </c>
      <c r="F71" s="318" t="s">
        <v>854</v>
      </c>
      <c r="G71" s="322" t="s">
        <v>864</v>
      </c>
      <c r="H71" s="323" t="s">
        <v>856</v>
      </c>
      <c r="I71" s="309"/>
      <c r="J71" s="318" t="s">
        <v>851</v>
      </c>
      <c r="K71" s="319" t="s">
        <v>852</v>
      </c>
      <c r="L71" s="320" t="s">
        <v>853</v>
      </c>
      <c r="M71" s="321" t="s">
        <v>8</v>
      </c>
      <c r="N71" s="318" t="s">
        <v>854</v>
      </c>
      <c r="O71" s="322" t="s">
        <v>864</v>
      </c>
      <c r="P71" s="323" t="s">
        <v>856</v>
      </c>
      <c r="Q71" s="332">
        <f t="shared" si="4"/>
        <v>0</v>
      </c>
      <c r="R71" s="332">
        <f t="shared" si="5"/>
        <v>0</v>
      </c>
      <c r="T71" s="324"/>
    </row>
    <row r="72" spans="1:41" ht="15.75" customHeight="1">
      <c r="A72" s="353" t="s">
        <v>825</v>
      </c>
      <c r="B72" s="380">
        <f>('Pivot Table for Data Exchange'!$D$7)*100</f>
        <v>87.511965718617688</v>
      </c>
      <c r="C72" s="339">
        <f>('Pivot Table for Data Exchange'!$D$10)*100</f>
        <v>8.5232322323801443E-2</v>
      </c>
      <c r="D72" s="328">
        <f>SUM(E72:G72)</f>
        <v>12.402801959058504</v>
      </c>
      <c r="E72" s="327">
        <f>('Pivot Table for Data Exchange'!$D$13)*100</f>
        <v>12.402801959058504</v>
      </c>
      <c r="F72" s="339">
        <f>('Pivot Table for Data Exchange'!$D$16)*100</f>
        <v>0</v>
      </c>
      <c r="G72" s="331">
        <f>('Pivot Table for Data Exchange'!$D$19)*100</f>
        <v>0</v>
      </c>
      <c r="H72" s="327">
        <f>('Pivot Table for Data Exchange'!$D$22)*100</f>
        <v>0</v>
      </c>
      <c r="I72" s="330" t="s">
        <v>825</v>
      </c>
      <c r="J72" s="327">
        <f>('Pivot Table for Data Exchange'!$D$25)*100</f>
        <v>69.230128832185159</v>
      </c>
      <c r="K72" s="327">
        <f>('Pivot Table for Data Exchange'!$D$28)*100</f>
        <v>0</v>
      </c>
      <c r="L72" s="328">
        <f>SUM(M72:O72)</f>
        <v>30.769871167814848</v>
      </c>
      <c r="M72" s="327">
        <f>('Pivot Table for Data Exchange'!$D$31)*100</f>
        <v>30.769871167814848</v>
      </c>
      <c r="N72" s="327">
        <f>('Pivot Table for Data Exchange'!$D$34)*100</f>
        <v>0</v>
      </c>
      <c r="O72" s="331">
        <f>('Pivot Table for Data Exchange'!$D$37)*100</f>
        <v>0</v>
      </c>
      <c r="P72" s="327">
        <f>('Pivot Table for Data Exchange'!$D$40)*100</f>
        <v>0</v>
      </c>
      <c r="Q72" s="332">
        <f t="shared" si="4"/>
        <v>100</v>
      </c>
      <c r="R72" s="332">
        <f t="shared" si="5"/>
        <v>100</v>
      </c>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row>
    <row r="73" spans="1:41" ht="15.75" customHeight="1">
      <c r="A73" s="298" t="s">
        <v>826</v>
      </c>
      <c r="B73" s="327">
        <f>('Pivot Table for Data Exchange'!$D$43)*100</f>
        <v>51.968561846672813</v>
      </c>
      <c r="C73" s="327">
        <f>('Pivot Table for Data Exchange'!$D$46)*100</f>
        <v>12.386985428229618</v>
      </c>
      <c r="D73" s="328">
        <f t="shared" ref="D73:D75" si="10">SUM(E73:G73)</f>
        <v>35.597383749436148</v>
      </c>
      <c r="E73" s="327">
        <f>('Pivot Table for Data Exchange'!$D$49)*100</f>
        <v>35.597383749436148</v>
      </c>
      <c r="F73" s="327">
        <f>('Pivot Table for Data Exchange'!$D$52)*100</f>
        <v>0</v>
      </c>
      <c r="G73" s="335">
        <f>('Pivot Table for Data Exchange'!$D$55)*100</f>
        <v>0</v>
      </c>
      <c r="H73" s="327">
        <f>('Pivot Table for Data Exchange'!$D$58)*100</f>
        <v>4.706897566141717E-2</v>
      </c>
      <c r="I73" s="333" t="s">
        <v>826</v>
      </c>
      <c r="J73" s="327">
        <f>('Pivot Table for Data Exchange'!$D$61)*100</f>
        <v>69.201930737147947</v>
      </c>
      <c r="K73" s="327">
        <f>('Pivot Table for Data Exchange'!$D$64)*100</f>
        <v>1.5581798584750925</v>
      </c>
      <c r="L73" s="328">
        <f t="shared" ref="L73:L75" si="11">SUM(M73:O73)</f>
        <v>29.162566193354888</v>
      </c>
      <c r="M73" s="327">
        <f>('Pivot Table for Data Exchange'!$D$67)*100</f>
        <v>29.162566193354888</v>
      </c>
      <c r="N73" s="327">
        <f>('Pivot Table for Data Exchange'!$D$70)*100</f>
        <v>0</v>
      </c>
      <c r="O73" s="335">
        <f>('Pivot Table for Data Exchange'!$D$73)*100</f>
        <v>0</v>
      </c>
      <c r="P73" s="327">
        <f>('Pivot Table for Data Exchange'!$D$76)*100</f>
        <v>7.7323211022072263E-2</v>
      </c>
      <c r="Q73" s="332">
        <f t="shared" si="4"/>
        <v>100</v>
      </c>
      <c r="R73" s="332">
        <f t="shared" si="5"/>
        <v>100</v>
      </c>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row>
    <row r="74" spans="1:41" ht="15.75" customHeight="1">
      <c r="A74" s="298" t="s">
        <v>827</v>
      </c>
      <c r="B74" s="327">
        <f>('Pivot Table for Data Exchange'!$D$79)*100</f>
        <v>0</v>
      </c>
      <c r="C74" s="327">
        <f>('Pivot Table for Data Exchange'!$D$82)*100</f>
        <v>0</v>
      </c>
      <c r="D74" s="328">
        <f t="shared" si="10"/>
        <v>0</v>
      </c>
      <c r="E74" s="327">
        <f>('Pivot Table for Data Exchange'!$D$85)*100</f>
        <v>0</v>
      </c>
      <c r="F74" s="327">
        <f>('Pivot Table for Data Exchange'!$D$88)*100</f>
        <v>0</v>
      </c>
      <c r="G74" s="335">
        <f>('Pivot Table for Data Exchange'!$D$91)*100</f>
        <v>0</v>
      </c>
      <c r="H74" s="327">
        <f>('Pivot Table for Data Exchange'!$D$94)*100</f>
        <v>0</v>
      </c>
      <c r="I74" s="333" t="s">
        <v>827</v>
      </c>
      <c r="J74" s="327">
        <f>('Pivot Table for Data Exchange'!$D$97)*100</f>
        <v>0</v>
      </c>
      <c r="K74" s="327">
        <f>('Pivot Table for Data Exchange'!$D$100)*100</f>
        <v>0</v>
      </c>
      <c r="L74" s="328">
        <f t="shared" si="11"/>
        <v>0</v>
      </c>
      <c r="M74" s="327">
        <f>('Pivot Table for Data Exchange'!$D$103)*100</f>
        <v>0</v>
      </c>
      <c r="N74" s="327">
        <f>('Pivot Table for Data Exchange'!$D$106)*100</f>
        <v>0</v>
      </c>
      <c r="O74" s="335">
        <f>('Pivot Table for Data Exchange'!$D$109)*100</f>
        <v>0</v>
      </c>
      <c r="P74" s="327">
        <f>('Pivot Table for Data Exchange'!$D$112)*100</f>
        <v>0</v>
      </c>
      <c r="Q74" s="332">
        <f t="shared" si="4"/>
        <v>0</v>
      </c>
      <c r="R74" s="332">
        <f t="shared" si="5"/>
        <v>0</v>
      </c>
      <c r="S74" s="381"/>
      <c r="T74" s="385"/>
      <c r="U74" s="381"/>
      <c r="V74" s="381"/>
      <c r="W74" s="381"/>
      <c r="X74" s="381"/>
      <c r="Y74" s="381"/>
      <c r="Z74" s="381"/>
      <c r="AA74" s="381"/>
      <c r="AB74" s="381"/>
      <c r="AC74" s="381"/>
      <c r="AD74" s="381"/>
      <c r="AE74" s="381"/>
      <c r="AF74" s="381"/>
      <c r="AG74" s="381"/>
      <c r="AH74" s="381"/>
      <c r="AI74" s="381"/>
      <c r="AJ74" s="381"/>
      <c r="AK74" s="381"/>
      <c r="AL74" s="381"/>
      <c r="AM74" s="381"/>
      <c r="AN74" s="381"/>
      <c r="AO74" s="381"/>
    </row>
    <row r="75" spans="1:41" ht="15.75" customHeight="1">
      <c r="A75" s="298" t="s">
        <v>828</v>
      </c>
      <c r="B75" s="327">
        <f>('Pivot Table for Data Exchange'!$D$115)*100</f>
        <v>0</v>
      </c>
      <c r="C75" s="327">
        <f>('Pivot Table for Data Exchange'!$D$118)*100</f>
        <v>0</v>
      </c>
      <c r="D75" s="328">
        <f t="shared" si="10"/>
        <v>0</v>
      </c>
      <c r="E75" s="327">
        <f>('Pivot Table for Data Exchange'!$D$121)*100</f>
        <v>0</v>
      </c>
      <c r="F75" s="339">
        <f>('Pivot Table for Data Exchange'!$D$124)*100</f>
        <v>0</v>
      </c>
      <c r="G75" s="335">
        <f>('Pivot Table for Data Exchange'!$D$127)*100</f>
        <v>0</v>
      </c>
      <c r="H75" s="327">
        <f>('Pivot Table for Data Exchange'!$D$130)*100</f>
        <v>0</v>
      </c>
      <c r="I75" s="333" t="s">
        <v>828</v>
      </c>
      <c r="J75" s="327">
        <f>('Pivot Table for Data Exchange'!$D$133)*100</f>
        <v>0</v>
      </c>
      <c r="K75" s="327">
        <f>('Pivot Table for Data Exchange'!$D$136)*100</f>
        <v>0</v>
      </c>
      <c r="L75" s="328">
        <f t="shared" si="11"/>
        <v>0</v>
      </c>
      <c r="M75" s="327">
        <f>('Pivot Table for Data Exchange'!$D$139)*100</f>
        <v>0</v>
      </c>
      <c r="N75" s="327">
        <f>('Pivot Table for Data Exchange'!$D$142)*100</f>
        <v>0</v>
      </c>
      <c r="O75" s="335">
        <f>('Pivot Table for Data Exchange'!$D$145)*100</f>
        <v>0</v>
      </c>
      <c r="P75" s="327">
        <f>('Pivot Table for Data Exchange'!$D$148)*100</f>
        <v>0</v>
      </c>
      <c r="Q75" s="332">
        <f t="shared" si="4"/>
        <v>0</v>
      </c>
      <c r="R75" s="332">
        <f t="shared" si="5"/>
        <v>0</v>
      </c>
      <c r="S75" s="381"/>
      <c r="U75" s="381"/>
      <c r="V75" s="381"/>
      <c r="W75" s="381"/>
      <c r="X75" s="381"/>
      <c r="Y75" s="381"/>
      <c r="Z75" s="381"/>
      <c r="AA75" s="381"/>
      <c r="AB75" s="381"/>
      <c r="AC75" s="381"/>
      <c r="AD75" s="381"/>
      <c r="AE75" s="381"/>
      <c r="AF75" s="381"/>
      <c r="AG75" s="381"/>
      <c r="AH75" s="381"/>
      <c r="AI75" s="381"/>
      <c r="AJ75" s="381"/>
      <c r="AK75" s="381"/>
      <c r="AL75" s="381"/>
      <c r="AM75" s="381"/>
      <c r="AN75" s="381"/>
      <c r="AO75" s="381"/>
    </row>
    <row r="76" spans="1:41" ht="9" customHeight="1">
      <c r="B76" s="327"/>
      <c r="C76" s="327"/>
      <c r="D76" s="328"/>
      <c r="E76" s="327"/>
      <c r="F76" s="327"/>
      <c r="G76" s="335"/>
      <c r="H76" s="327"/>
      <c r="I76" s="333"/>
      <c r="J76" s="327"/>
      <c r="K76" s="327"/>
      <c r="L76" s="328"/>
      <c r="M76" s="327"/>
      <c r="N76" s="327"/>
      <c r="O76" s="335"/>
      <c r="P76" s="327"/>
      <c r="Q76" s="332">
        <f t="shared" si="4"/>
        <v>0</v>
      </c>
      <c r="R76" s="332">
        <f t="shared" si="5"/>
        <v>0</v>
      </c>
      <c r="S76" s="381"/>
      <c r="U76" s="381"/>
      <c r="V76" s="381"/>
      <c r="W76" s="381"/>
      <c r="X76" s="381"/>
      <c r="Y76" s="381"/>
      <c r="Z76" s="381"/>
      <c r="AA76" s="381"/>
      <c r="AB76" s="381"/>
      <c r="AC76" s="381"/>
      <c r="AD76" s="381"/>
      <c r="AE76" s="381"/>
      <c r="AF76" s="381"/>
      <c r="AG76" s="381"/>
      <c r="AH76" s="381"/>
      <c r="AI76" s="381"/>
      <c r="AJ76" s="381"/>
      <c r="AK76" s="381"/>
      <c r="AL76" s="381"/>
      <c r="AM76" s="381"/>
      <c r="AN76" s="381"/>
      <c r="AO76" s="381"/>
    </row>
    <row r="77" spans="1:41" ht="15.75" customHeight="1">
      <c r="A77" s="298" t="s">
        <v>829</v>
      </c>
      <c r="B77" s="327">
        <f>('Pivot Table for Data Exchange'!$D$151)*100</f>
        <v>93.803275398833875</v>
      </c>
      <c r="C77" s="327">
        <f>('Pivot Table for Data Exchange'!$D$154)*100</f>
        <v>3.4782996465958371</v>
      </c>
      <c r="D77" s="328">
        <f t="shared" ref="D77:D78" si="12">SUM(E77:G77)</f>
        <v>2.7184249545702852</v>
      </c>
      <c r="E77" s="327">
        <f>('Pivot Table for Data Exchange'!$D$157)*100</f>
        <v>2.7184249545702852</v>
      </c>
      <c r="F77" s="327">
        <f>('Pivot Table for Data Exchange'!$D$160)*100</f>
        <v>0</v>
      </c>
      <c r="G77" s="335">
        <f>('Pivot Table for Data Exchange'!$D$163)*100</f>
        <v>0</v>
      </c>
      <c r="H77" s="327">
        <f>('Pivot Table for Data Exchange'!$D$166)*100</f>
        <v>0</v>
      </c>
      <c r="I77" s="333" t="s">
        <v>829</v>
      </c>
      <c r="J77" s="327">
        <f>('Pivot Table for Data Exchange'!$D$169)*100</f>
        <v>73.062922985630692</v>
      </c>
      <c r="K77" s="327">
        <f>('Pivot Table for Data Exchange'!$D$172)*100</f>
        <v>0.77036903501062859</v>
      </c>
      <c r="L77" s="328">
        <f t="shared" ref="L77:L78" si="13">SUM(M77:O77)</f>
        <v>26.166707979358677</v>
      </c>
      <c r="M77" s="327">
        <f>('Pivot Table for Data Exchange'!$D$175)*100</f>
        <v>26.166707979358677</v>
      </c>
      <c r="N77" s="327">
        <f>('Pivot Table for Data Exchange'!$D$178)*100</f>
        <v>0</v>
      </c>
      <c r="O77" s="335">
        <f>('Pivot Table for Data Exchange'!$D$181)*100</f>
        <v>0</v>
      </c>
      <c r="P77" s="327">
        <f>('Pivot Table for Data Exchange'!$D$184)*100</f>
        <v>0</v>
      </c>
      <c r="Q77" s="332">
        <f t="shared" si="4"/>
        <v>100</v>
      </c>
      <c r="R77" s="332">
        <f t="shared" si="5"/>
        <v>100</v>
      </c>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row>
    <row r="78" spans="1:41" ht="15.75" customHeight="1">
      <c r="A78" s="298" t="s">
        <v>830</v>
      </c>
      <c r="B78" s="327">
        <f>('Pivot Table for Data Exchange'!$D$187)*100</f>
        <v>0</v>
      </c>
      <c r="C78" s="327">
        <f>('Pivot Table for Data Exchange'!$D$190)*100</f>
        <v>0</v>
      </c>
      <c r="D78" s="328">
        <f t="shared" si="12"/>
        <v>0</v>
      </c>
      <c r="E78" s="327">
        <f>('Pivot Table for Data Exchange'!$D$193)*100</f>
        <v>0</v>
      </c>
      <c r="F78" s="327">
        <f>('Pivot Table for Data Exchange'!$D$196)*100</f>
        <v>0</v>
      </c>
      <c r="G78" s="335">
        <f>('Pivot Table for Data Exchange'!$D$199)*100</f>
        <v>0</v>
      </c>
      <c r="H78" s="327">
        <f>('Pivot Table for Data Exchange'!$D$202)*100</f>
        <v>0</v>
      </c>
      <c r="I78" s="333" t="s">
        <v>830</v>
      </c>
      <c r="J78" s="327">
        <f>('Pivot Table for Data Exchange'!$D$205)*100</f>
        <v>0</v>
      </c>
      <c r="K78" s="327">
        <f>('Pivot Table for Data Exchange'!$D$208)*100</f>
        <v>0</v>
      </c>
      <c r="L78" s="328">
        <f t="shared" si="13"/>
        <v>0</v>
      </c>
      <c r="M78" s="327">
        <f>('Pivot Table for Data Exchange'!$D$211)*100</f>
        <v>0</v>
      </c>
      <c r="N78" s="327">
        <f>('Pivot Table for Data Exchange'!$D$214)*100</f>
        <v>0</v>
      </c>
      <c r="O78" s="335">
        <f>('Pivot Table for Data Exchange'!$D$217)*100</f>
        <v>0</v>
      </c>
      <c r="P78" s="327">
        <f>('Pivot Table for Data Exchange'!$D$220)*100</f>
        <v>0</v>
      </c>
      <c r="Q78" s="332">
        <f t="shared" si="4"/>
        <v>0</v>
      </c>
      <c r="R78" s="332">
        <f t="shared" si="5"/>
        <v>0</v>
      </c>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row>
    <row r="79" spans="1:41" ht="15.75" customHeight="1">
      <c r="A79" s="298" t="s">
        <v>831</v>
      </c>
      <c r="B79" s="327">
        <f>('Pivot Table for Data Exchange'!$D$223)*100</f>
        <v>87.177835651346641</v>
      </c>
      <c r="C79" s="327">
        <f>('Pivot Table for Data Exchange'!$D$226)*100</f>
        <v>0</v>
      </c>
      <c r="D79" s="328">
        <f>SUM(E79:G79)</f>
        <v>12.822164348653351</v>
      </c>
      <c r="E79" s="327">
        <f>('Pivot Table for Data Exchange'!$D$229)*100</f>
        <v>12.822164348653351</v>
      </c>
      <c r="F79" s="327">
        <f>('Pivot Table for Data Exchange'!$D$232)*100</f>
        <v>0</v>
      </c>
      <c r="G79" s="335">
        <f>('Pivot Table for Data Exchange'!$D$235)*100</f>
        <v>0</v>
      </c>
      <c r="H79" s="327">
        <f>('Pivot Table for Data Exchange'!$D$238)*100</f>
        <v>0</v>
      </c>
      <c r="I79" s="333" t="s">
        <v>831</v>
      </c>
      <c r="J79" s="327">
        <f>('Pivot Table for Data Exchange'!$D$241)*100</f>
        <v>82.276532530538404</v>
      </c>
      <c r="K79" s="327">
        <f>('Pivot Table for Data Exchange'!$D$244)*100</f>
        <v>0</v>
      </c>
      <c r="L79" s="328">
        <f>SUM(M79:O79)</f>
        <v>17.723467469461614</v>
      </c>
      <c r="M79" s="327">
        <f>('Pivot Table for Data Exchange'!$D$247)*100</f>
        <v>17.723467469461614</v>
      </c>
      <c r="N79" s="327">
        <f>('Pivot Table for Data Exchange'!$D$250)*100</f>
        <v>0</v>
      </c>
      <c r="O79" s="335">
        <f>('Pivot Table for Data Exchange'!$D$253)*100</f>
        <v>0</v>
      </c>
      <c r="P79" s="327">
        <f>('Pivot Table for Data Exchange'!$D$256)*100</f>
        <v>0</v>
      </c>
      <c r="Q79" s="332">
        <f t="shared" si="4"/>
        <v>99.999999999999986</v>
      </c>
      <c r="R79" s="332">
        <f t="shared" si="5"/>
        <v>100.00000000000001</v>
      </c>
      <c r="S79" s="381"/>
      <c r="T79" s="385"/>
      <c r="U79" s="381"/>
      <c r="V79" s="381"/>
      <c r="W79" s="381"/>
      <c r="X79" s="381"/>
      <c r="Y79" s="381"/>
      <c r="Z79" s="381"/>
      <c r="AA79" s="381"/>
      <c r="AB79" s="381"/>
      <c r="AC79" s="381"/>
      <c r="AD79" s="381"/>
      <c r="AE79" s="381"/>
      <c r="AF79" s="381"/>
      <c r="AG79" s="381"/>
      <c r="AH79" s="381"/>
      <c r="AI79" s="381"/>
      <c r="AJ79" s="381"/>
      <c r="AK79" s="381"/>
      <c r="AL79" s="381"/>
      <c r="AM79" s="381"/>
      <c r="AN79" s="381"/>
      <c r="AO79" s="381"/>
    </row>
    <row r="80" spans="1:41" ht="15.75" customHeight="1">
      <c r="A80" s="298" t="s">
        <v>832</v>
      </c>
      <c r="B80" s="327">
        <f>('Pivot Table for Data Exchange'!$D$259)*100</f>
        <v>87.5048761078517</v>
      </c>
      <c r="C80" s="327">
        <f>('Pivot Table for Data Exchange'!$D$262)*100</f>
        <v>1.4400121707651978</v>
      </c>
      <c r="D80" s="328">
        <f>SUM(E80:G80)</f>
        <v>11.055111721383099</v>
      </c>
      <c r="E80" s="327">
        <f>('Pivot Table for Data Exchange'!$D$265)*100</f>
        <v>11.055111721383099</v>
      </c>
      <c r="F80" s="327">
        <f>('Pivot Table for Data Exchange'!$D$268)*100</f>
        <v>0</v>
      </c>
      <c r="G80" s="335">
        <f>('Pivot Table for Data Exchange'!$D$271)*100</f>
        <v>0</v>
      </c>
      <c r="H80" s="327">
        <f>('Pivot Table for Data Exchange'!$D$274)*100</f>
        <v>0</v>
      </c>
      <c r="I80" s="333" t="s">
        <v>832</v>
      </c>
      <c r="J80" s="327">
        <f>('Pivot Table for Data Exchange'!$D$277)*100</f>
        <v>71.748786636711316</v>
      </c>
      <c r="K80" s="327">
        <f>('Pivot Table for Data Exchange'!$D$280)*100</f>
        <v>6.2083040353976227</v>
      </c>
      <c r="L80" s="328">
        <f>SUM(M80:O80)</f>
        <v>22.042909327891063</v>
      </c>
      <c r="M80" s="327">
        <f>('Pivot Table for Data Exchange'!$D$283)*100</f>
        <v>22.042909327891063</v>
      </c>
      <c r="N80" s="327">
        <f>('Pivot Table for Data Exchange'!$D$286)*100</f>
        <v>0</v>
      </c>
      <c r="O80" s="335">
        <f>('Pivot Table for Data Exchange'!$D$289)*100</f>
        <v>0</v>
      </c>
      <c r="P80" s="327">
        <f>('Pivot Table for Data Exchange'!$D$292)*100</f>
        <v>0</v>
      </c>
      <c r="Q80" s="332">
        <f t="shared" si="4"/>
        <v>100</v>
      </c>
      <c r="R80" s="332">
        <f t="shared" si="5"/>
        <v>100</v>
      </c>
      <c r="S80" s="381"/>
      <c r="U80" s="381"/>
      <c r="V80" s="381"/>
      <c r="W80" s="381"/>
      <c r="X80" s="381"/>
      <c r="Y80" s="381"/>
      <c r="Z80" s="381"/>
      <c r="AA80" s="381"/>
      <c r="AB80" s="381"/>
      <c r="AC80" s="381"/>
      <c r="AD80" s="381"/>
      <c r="AE80" s="381"/>
      <c r="AF80" s="381"/>
      <c r="AG80" s="381"/>
      <c r="AH80" s="381"/>
      <c r="AI80" s="381"/>
      <c r="AJ80" s="381"/>
      <c r="AK80" s="381"/>
      <c r="AL80" s="381"/>
      <c r="AM80" s="381"/>
      <c r="AN80" s="381"/>
      <c r="AO80" s="381"/>
    </row>
    <row r="81" spans="1:41" ht="8.25" customHeight="1">
      <c r="B81" s="327"/>
      <c r="C81" s="327"/>
      <c r="D81" s="328"/>
      <c r="E81" s="327"/>
      <c r="F81" s="327"/>
      <c r="G81" s="335"/>
      <c r="H81" s="327"/>
      <c r="I81" s="333"/>
      <c r="J81" s="327"/>
      <c r="K81" s="327"/>
      <c r="L81" s="328"/>
      <c r="M81" s="327"/>
      <c r="N81" s="327"/>
      <c r="O81" s="335"/>
      <c r="P81" s="327"/>
      <c r="Q81" s="332">
        <f t="shared" si="4"/>
        <v>0</v>
      </c>
      <c r="R81" s="332">
        <f t="shared" si="5"/>
        <v>0</v>
      </c>
      <c r="S81" s="381"/>
      <c r="U81" s="381"/>
      <c r="V81" s="381"/>
      <c r="W81" s="381"/>
      <c r="X81" s="381"/>
      <c r="Y81" s="381"/>
      <c r="Z81" s="381"/>
      <c r="AA81" s="381"/>
      <c r="AB81" s="381"/>
      <c r="AC81" s="381"/>
      <c r="AD81" s="381"/>
      <c r="AE81" s="381"/>
      <c r="AF81" s="381"/>
      <c r="AG81" s="381"/>
      <c r="AH81" s="381"/>
      <c r="AI81" s="381"/>
      <c r="AJ81" s="381"/>
      <c r="AK81" s="381"/>
      <c r="AL81" s="381"/>
      <c r="AM81" s="381"/>
      <c r="AN81" s="381"/>
      <c r="AO81" s="381"/>
    </row>
    <row r="82" spans="1:41" ht="15.75" customHeight="1">
      <c r="A82" s="298" t="s">
        <v>833</v>
      </c>
      <c r="B82" s="327">
        <f>('Pivot Table for Data Exchange'!$D$295)*100</f>
        <v>67.451055586043651</v>
      </c>
      <c r="C82" s="327">
        <f>('Pivot Table for Data Exchange'!$D$298)*100</f>
        <v>1.6483407496545293</v>
      </c>
      <c r="D82" s="328">
        <f>SUM(E82:G82)</f>
        <v>30.900603664301819</v>
      </c>
      <c r="E82" s="327">
        <f>('Pivot Table for Data Exchange'!$D$301)*100</f>
        <v>30.900603664301819</v>
      </c>
      <c r="F82" s="327">
        <f>('Pivot Table for Data Exchange'!$D$304)*100</f>
        <v>0</v>
      </c>
      <c r="G82" s="335">
        <f>('Pivot Table for Data Exchange'!$D$307)*100</f>
        <v>0</v>
      </c>
      <c r="H82" s="327">
        <f>('Pivot Table for Data Exchange'!$D$310)*100</f>
        <v>0</v>
      </c>
      <c r="I82" s="333" t="s">
        <v>833</v>
      </c>
      <c r="J82" s="327">
        <f>('Pivot Table for Data Exchange'!$D$313)*100</f>
        <v>33.298122465669408</v>
      </c>
      <c r="K82" s="327">
        <f>('Pivot Table for Data Exchange'!$D$316)*100</f>
        <v>18.407332947149623</v>
      </c>
      <c r="L82" s="328">
        <f>SUM(M82:O82)</f>
        <v>48.294544587180972</v>
      </c>
      <c r="M82" s="327">
        <f>('Pivot Table for Data Exchange'!$D$319)*100</f>
        <v>48.294544587180972</v>
      </c>
      <c r="N82" s="327">
        <f>('Pivot Table for Data Exchange'!$D$322)*100</f>
        <v>0</v>
      </c>
      <c r="O82" s="335">
        <f>('Pivot Table for Data Exchange'!$D$325)*100</f>
        <v>0</v>
      </c>
      <c r="P82" s="339">
        <f>('Pivot Table for Data Exchange'!$D$328)*100</f>
        <v>0</v>
      </c>
      <c r="Q82" s="332">
        <f t="shared" si="4"/>
        <v>100</v>
      </c>
      <c r="R82" s="332">
        <f t="shared" si="5"/>
        <v>100</v>
      </c>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row>
    <row r="83" spans="1:41" ht="15.75" customHeight="1">
      <c r="A83" s="298" t="s">
        <v>834</v>
      </c>
      <c r="B83" s="327">
        <f>('Pivot Table for Data Exchange'!$D$331)*100</f>
        <v>77.829128230191216</v>
      </c>
      <c r="C83" s="327">
        <f>('Pivot Table for Data Exchange'!$D$334)*100</f>
        <v>0.70743478526482984</v>
      </c>
      <c r="D83" s="328">
        <f>SUM(E83:G83)</f>
        <v>21.463436984543954</v>
      </c>
      <c r="E83" s="327">
        <f>('Pivot Table for Data Exchange'!$D$337)*100</f>
        <v>21.434571446026023</v>
      </c>
      <c r="F83" s="339">
        <f>('Pivot Table for Data Exchange'!$D$340)*100</f>
        <v>2.8865538517930233E-2</v>
      </c>
      <c r="G83" s="335">
        <f>('Pivot Table for Data Exchange'!$D$343)*100</f>
        <v>0</v>
      </c>
      <c r="H83" s="327">
        <f>('Pivot Table for Data Exchange'!$D$346)*100</f>
        <v>0</v>
      </c>
      <c r="I83" s="333" t="s">
        <v>834</v>
      </c>
      <c r="J83" s="327">
        <f>('Pivot Table for Data Exchange'!$D$349)*100</f>
        <v>37.340528296858864</v>
      </c>
      <c r="K83" s="327">
        <f>('Pivot Table for Data Exchange'!$D$352)*100</f>
        <v>1.5811154414132329</v>
      </c>
      <c r="L83" s="328">
        <f>SUM(M83:O83)</f>
        <v>61.078356261727897</v>
      </c>
      <c r="M83" s="327">
        <f>('Pivot Table for Data Exchange'!$D$355)*100</f>
        <v>61.071694258463516</v>
      </c>
      <c r="N83" s="339">
        <f>('Pivot Table for Data Exchange'!$D$358)*100</f>
        <v>6.6620032643815988E-3</v>
      </c>
      <c r="O83" s="335">
        <f>('Pivot Table for Data Exchange'!$D$361)*100</f>
        <v>0</v>
      </c>
      <c r="P83" s="327">
        <f>('Pivot Table for Data Exchange'!$D$364)*100</f>
        <v>0</v>
      </c>
      <c r="Q83" s="332">
        <f t="shared" si="4"/>
        <v>100</v>
      </c>
      <c r="R83" s="332">
        <f t="shared" si="5"/>
        <v>100</v>
      </c>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row>
    <row r="84" spans="1:41" ht="15.75" customHeight="1">
      <c r="A84" s="298" t="s">
        <v>835</v>
      </c>
      <c r="B84" s="327">
        <f>('Pivot Table for Data Exchange'!$D$367)*100</f>
        <v>0</v>
      </c>
      <c r="C84" s="327">
        <f>('Pivot Table for Data Exchange'!$D$370)*100</f>
        <v>0</v>
      </c>
      <c r="D84" s="328">
        <f>SUM(E84:G84)</f>
        <v>0</v>
      </c>
      <c r="E84" s="327">
        <f>('Pivot Table for Data Exchange'!$D$373)*100</f>
        <v>0</v>
      </c>
      <c r="F84" s="327">
        <f>('Pivot Table for Data Exchange'!$D$376)*100</f>
        <v>0</v>
      </c>
      <c r="G84" s="335">
        <f>('Pivot Table for Data Exchange'!$D$379)*100</f>
        <v>0</v>
      </c>
      <c r="H84" s="327">
        <f>('Pivot Table for Data Exchange'!$D$382)*100</f>
        <v>0</v>
      </c>
      <c r="I84" s="333" t="s">
        <v>835</v>
      </c>
      <c r="J84" s="327">
        <f>('Pivot Table for Data Exchange'!$D$385)*100</f>
        <v>0</v>
      </c>
      <c r="K84" s="327">
        <f>('Pivot Table for Data Exchange'!$D$388)*100</f>
        <v>0</v>
      </c>
      <c r="L84" s="328">
        <f>SUM(M84:O84)</f>
        <v>0</v>
      </c>
      <c r="M84" s="327">
        <f>('Pivot Table for Data Exchange'!$D$391)*100</f>
        <v>0</v>
      </c>
      <c r="N84" s="327">
        <f>('Pivot Table for Data Exchange'!$D$394)*100</f>
        <v>0</v>
      </c>
      <c r="O84" s="335">
        <f>('Pivot Table for Data Exchange'!$D$397)*100</f>
        <v>0</v>
      </c>
      <c r="P84" s="327">
        <f>('Pivot Table for Data Exchange'!$D$400)*100</f>
        <v>0</v>
      </c>
      <c r="Q84" s="332">
        <f t="shared" si="4"/>
        <v>0</v>
      </c>
      <c r="R84" s="332">
        <f t="shared" si="5"/>
        <v>0</v>
      </c>
      <c r="S84" s="381"/>
      <c r="T84" s="385"/>
      <c r="U84" s="381"/>
      <c r="V84" s="381"/>
      <c r="W84" s="381"/>
      <c r="X84" s="381"/>
      <c r="Y84" s="381"/>
      <c r="Z84" s="381"/>
      <c r="AA84" s="381"/>
      <c r="AB84" s="381"/>
      <c r="AC84" s="381"/>
      <c r="AD84" s="381"/>
      <c r="AE84" s="381"/>
      <c r="AF84" s="381"/>
      <c r="AG84" s="381"/>
      <c r="AH84" s="381"/>
      <c r="AI84" s="381"/>
      <c r="AJ84" s="381"/>
      <c r="AK84" s="381"/>
      <c r="AL84" s="381"/>
      <c r="AM84" s="381"/>
      <c r="AN84" s="381"/>
      <c r="AO84" s="381"/>
    </row>
    <row r="85" spans="1:41" ht="15.75" customHeight="1">
      <c r="A85" s="298" t="s">
        <v>836</v>
      </c>
      <c r="B85" s="327">
        <f>('Pivot Table for Data Exchange'!$D$403)*100</f>
        <v>0</v>
      </c>
      <c r="C85" s="327">
        <f>('Pivot Table for Data Exchange'!$D$406)*100</f>
        <v>0</v>
      </c>
      <c r="D85" s="328">
        <f>SUM(E85:G85)</f>
        <v>0</v>
      </c>
      <c r="E85" s="327">
        <f>('Pivot Table for Data Exchange'!$D$409)*100</f>
        <v>0</v>
      </c>
      <c r="F85" s="327">
        <f>('Pivot Table for Data Exchange'!$D$412)*100</f>
        <v>0</v>
      </c>
      <c r="G85" s="335">
        <f>('Pivot Table for Data Exchange'!$D$415)*100</f>
        <v>0</v>
      </c>
      <c r="H85" s="327">
        <f>('Pivot Table for Data Exchange'!$D$418)*100</f>
        <v>0</v>
      </c>
      <c r="I85" s="333" t="s">
        <v>836</v>
      </c>
      <c r="J85" s="327">
        <f>('Pivot Table for Data Exchange'!$D$421)*100</f>
        <v>0</v>
      </c>
      <c r="K85" s="327">
        <f>('Pivot Table for Data Exchange'!$D$424)*100</f>
        <v>0</v>
      </c>
      <c r="L85" s="328">
        <f>SUM(M85:O85)</f>
        <v>0</v>
      </c>
      <c r="M85" s="327">
        <f>('Pivot Table for Data Exchange'!$D$427)*100</f>
        <v>0</v>
      </c>
      <c r="N85" s="327">
        <f>('Pivot Table for Data Exchange'!$D$430)*100</f>
        <v>0</v>
      </c>
      <c r="O85" s="335">
        <f>('Pivot Table for Data Exchange'!$D$433)*100</f>
        <v>0</v>
      </c>
      <c r="P85" s="327">
        <f>('Pivot Table for Data Exchange'!$D$436)*100</f>
        <v>0</v>
      </c>
      <c r="Q85" s="332">
        <f t="shared" si="4"/>
        <v>0</v>
      </c>
      <c r="R85" s="332">
        <f t="shared" si="5"/>
        <v>0</v>
      </c>
      <c r="S85" s="381"/>
      <c r="T85" s="381"/>
      <c r="U85" s="381"/>
      <c r="V85" s="381"/>
      <c r="W85" s="381"/>
      <c r="X85" s="381"/>
      <c r="Y85" s="381"/>
      <c r="Z85" s="381"/>
      <c r="AA85" s="381"/>
      <c r="AB85" s="381"/>
      <c r="AC85" s="381"/>
      <c r="AD85" s="381"/>
      <c r="AE85" s="381"/>
      <c r="AF85" s="381"/>
      <c r="AG85" s="381"/>
      <c r="AH85" s="381"/>
      <c r="AI85" s="381"/>
      <c r="AJ85" s="381"/>
      <c r="AK85" s="381"/>
      <c r="AL85" s="381"/>
      <c r="AM85" s="381"/>
      <c r="AN85" s="381"/>
      <c r="AO85" s="381"/>
    </row>
    <row r="86" spans="1:41" ht="8.25" customHeight="1">
      <c r="B86" s="327"/>
      <c r="C86" s="327"/>
      <c r="D86" s="328"/>
      <c r="E86" s="327"/>
      <c r="F86" s="327"/>
      <c r="G86" s="335"/>
      <c r="H86" s="327"/>
      <c r="I86" s="333"/>
      <c r="J86" s="327"/>
      <c r="K86" s="327"/>
      <c r="L86" s="328"/>
      <c r="M86" s="327"/>
      <c r="N86" s="327"/>
      <c r="O86" s="335"/>
      <c r="P86" s="327"/>
      <c r="Q86" s="332">
        <f t="shared" si="4"/>
        <v>0</v>
      </c>
      <c r="R86" s="332">
        <f t="shared" si="5"/>
        <v>0</v>
      </c>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row>
    <row r="87" spans="1:41" ht="15.75" customHeight="1">
      <c r="A87" s="298" t="s">
        <v>837</v>
      </c>
      <c r="B87" s="327">
        <f>('Pivot Table for Data Exchange'!$D$439)*100</f>
        <v>73.556642497032414</v>
      </c>
      <c r="C87" s="327">
        <f>('Pivot Table for Data Exchange'!$D$442)*100</f>
        <v>3.7149101900591868</v>
      </c>
      <c r="D87" s="328">
        <f>SUM(E87:G87)</f>
        <v>22.014682975593232</v>
      </c>
      <c r="E87" s="327">
        <f>('Pivot Table for Data Exchange'!$D$445)*100</f>
        <v>17.350660795672731</v>
      </c>
      <c r="F87" s="327">
        <f>('Pivot Table for Data Exchange'!$D$448)*100</f>
        <v>0.73332516582949758</v>
      </c>
      <c r="G87" s="335">
        <f>('Pivot Table for Data Exchange'!$D$451)*100</f>
        <v>3.9306970140910029</v>
      </c>
      <c r="H87" s="327">
        <f>('Pivot Table for Data Exchange'!$D$454)*100</f>
        <v>0.71376433731516298</v>
      </c>
      <c r="I87" s="333" t="s">
        <v>837</v>
      </c>
      <c r="J87" s="327">
        <f>('Pivot Table for Data Exchange'!$D$457)*100</f>
        <v>47.400773419012253</v>
      </c>
      <c r="K87" s="327">
        <f>('Pivot Table for Data Exchange'!$D$460)*100</f>
        <v>8.7875406429767011</v>
      </c>
      <c r="L87" s="328">
        <f>SUM(M87:O87)</f>
        <v>39.453027300536775</v>
      </c>
      <c r="M87" s="327">
        <f>('Pivot Table for Data Exchange'!$D$463)*100</f>
        <v>36.48344460049637</v>
      </c>
      <c r="N87" s="327">
        <f>('Pivot Table for Data Exchange'!$D$466)*100</f>
        <v>0.23087134694191663</v>
      </c>
      <c r="O87" s="335">
        <f>('Pivot Table for Data Exchange'!$D$469)*100</f>
        <v>2.7387113530984859</v>
      </c>
      <c r="P87" s="327">
        <f>('Pivot Table for Data Exchange'!$D$472)*100</f>
        <v>4.3586586374742682</v>
      </c>
      <c r="Q87" s="332">
        <f t="shared" si="4"/>
        <v>100</v>
      </c>
      <c r="R87" s="332">
        <f t="shared" si="5"/>
        <v>100</v>
      </c>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row>
    <row r="88" spans="1:41" ht="15.75" customHeight="1">
      <c r="A88" s="298" t="s">
        <v>838</v>
      </c>
      <c r="B88" s="327">
        <f>('Pivot Table for Data Exchange'!$D$475)*100</f>
        <v>82.061815968221254</v>
      </c>
      <c r="C88" s="327">
        <f>('Pivot Table for Data Exchange'!$D$478)*100</f>
        <v>2.3777387930146725</v>
      </c>
      <c r="D88" s="328">
        <f>SUM(E88:G88)</f>
        <v>15.560445238764071</v>
      </c>
      <c r="E88" s="327">
        <f>('Pivot Table for Data Exchange'!$D$481)*100</f>
        <v>15.53016061817187</v>
      </c>
      <c r="F88" s="327">
        <f>('Pivot Table for Data Exchange'!$D$484)*100</f>
        <v>2.5287962868739633E-2</v>
      </c>
      <c r="G88" s="334">
        <f>('Pivot Table for Data Exchange'!$D$487)*100</f>
        <v>4.9966577234618068E-3</v>
      </c>
      <c r="H88" s="327">
        <f>('Pivot Table for Data Exchange'!$D$490)*100</f>
        <v>0</v>
      </c>
      <c r="I88" s="333" t="s">
        <v>838</v>
      </c>
      <c r="J88" s="327">
        <f>('Pivot Table for Data Exchange'!$D$493)*100</f>
        <v>56.228988823374102</v>
      </c>
      <c r="K88" s="327">
        <f>('Pivot Table for Data Exchange'!$D$496)*100</f>
        <v>5.7326410278975626</v>
      </c>
      <c r="L88" s="328">
        <f>SUM(M88:O88)</f>
        <v>38.038370148728326</v>
      </c>
      <c r="M88" s="327">
        <f>('Pivot Table for Data Exchange'!$D$499)*100</f>
        <v>37.229164833230662</v>
      </c>
      <c r="N88" s="327">
        <f>('Pivot Table for Data Exchange'!$D$502)*100</f>
        <v>0.63847575464225992</v>
      </c>
      <c r="O88" s="334">
        <f>('Pivot Table for Data Exchange'!$D$505)*100</f>
        <v>0.17072956085540791</v>
      </c>
      <c r="P88" s="327">
        <f>('Pivot Table for Data Exchange'!$D$508)*100</f>
        <v>0</v>
      </c>
      <c r="Q88" s="332">
        <f t="shared" si="4"/>
        <v>100</v>
      </c>
      <c r="R88" s="332">
        <f t="shared" si="5"/>
        <v>100</v>
      </c>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row>
    <row r="89" spans="1:41" ht="15.75" customHeight="1">
      <c r="A89" s="298" t="s">
        <v>839</v>
      </c>
      <c r="B89" s="327">
        <f>('Pivot Table for Data Exchange'!$D$511)*100</f>
        <v>97.119724523373407</v>
      </c>
      <c r="C89" s="327">
        <f>('Pivot Table for Data Exchange'!$D$514)*100</f>
        <v>2.4833660068493701</v>
      </c>
      <c r="D89" s="328">
        <f>SUM(E89:G89)</f>
        <v>0.39690946977722114</v>
      </c>
      <c r="E89" s="327">
        <f>('Pivot Table for Data Exchange'!$D$517)*100</f>
        <v>0.38618218681026922</v>
      </c>
      <c r="F89" s="327">
        <f>('Pivot Table for Data Exchange'!$D$520)*100</f>
        <v>1.0727282966951922E-2</v>
      </c>
      <c r="G89" s="335">
        <f>('Pivot Table for Data Exchange'!$D$523)*100</f>
        <v>0</v>
      </c>
      <c r="H89" s="327">
        <f>('Pivot Table for Data Exchange'!$D$526)*100</f>
        <v>0</v>
      </c>
      <c r="I89" s="333" t="s">
        <v>839</v>
      </c>
      <c r="J89" s="327">
        <f>('Pivot Table for Data Exchange'!$D$529)*100</f>
        <v>79.827115188583079</v>
      </c>
      <c r="K89" s="327">
        <f>('Pivot Table for Data Exchange'!$D$532)*100</f>
        <v>7.7496432212028541</v>
      </c>
      <c r="L89" s="328">
        <f>SUM(M89:O89)</f>
        <v>12.423241590214069</v>
      </c>
      <c r="M89" s="327">
        <f>('Pivot Table for Data Exchange'!$D$535)*100</f>
        <v>12.374311926605506</v>
      </c>
      <c r="N89" s="327">
        <f>('Pivot Table for Data Exchange'!$D$538)*100</f>
        <v>4.8929663608562692E-2</v>
      </c>
      <c r="O89" s="335">
        <f>('Pivot Table for Data Exchange'!$D$541)*100</f>
        <v>0</v>
      </c>
      <c r="P89" s="327">
        <f>('Pivot Table for Data Exchange'!$D$544)*100</f>
        <v>0</v>
      </c>
      <c r="Q89" s="332">
        <f t="shared" si="4"/>
        <v>100</v>
      </c>
      <c r="R89" s="332">
        <f t="shared" si="5"/>
        <v>100</v>
      </c>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row>
    <row r="90" spans="1:41" ht="15.75" customHeight="1">
      <c r="A90" s="304" t="s">
        <v>840</v>
      </c>
      <c r="B90" s="340">
        <f>('Pivot Table for Data Exchange'!$D$547)*100</f>
        <v>0</v>
      </c>
      <c r="C90" s="340">
        <f>('Pivot Table for Data Exchange'!$D$550)*100</f>
        <v>0</v>
      </c>
      <c r="D90" s="341">
        <f>SUM(E90:G90)</f>
        <v>0</v>
      </c>
      <c r="E90" s="340">
        <f>('Pivot Table for Data Exchange'!$D$553)*100</f>
        <v>0</v>
      </c>
      <c r="F90" s="340">
        <f>('Pivot Table for Data Exchange'!$D$556)*100</f>
        <v>0</v>
      </c>
      <c r="G90" s="342">
        <f>('Pivot Table for Data Exchange'!$D$559)*100</f>
        <v>0</v>
      </c>
      <c r="H90" s="340">
        <f>('Pivot Table for Data Exchange'!$D$562)*100</f>
        <v>0</v>
      </c>
      <c r="I90" s="343" t="s">
        <v>840</v>
      </c>
      <c r="J90" s="340">
        <f>('Pivot Table for Data Exchange'!$D$565)*100</f>
        <v>0</v>
      </c>
      <c r="K90" s="340">
        <f>('Pivot Table for Data Exchange'!$D$568)*100</f>
        <v>0</v>
      </c>
      <c r="L90" s="341">
        <f>SUM(M90:O90)</f>
        <v>0</v>
      </c>
      <c r="M90" s="340">
        <f>('Pivot Table for Data Exchange'!$D$571)*100</f>
        <v>0</v>
      </c>
      <c r="N90" s="340">
        <f>('Pivot Table for Data Exchange'!$D$574)*100</f>
        <v>0</v>
      </c>
      <c r="O90" s="342">
        <f>('Pivot Table for Data Exchange'!$D$577)*100</f>
        <v>0</v>
      </c>
      <c r="P90" s="340">
        <f>('Pivot Table for Data Exchange'!$D$580)*100</f>
        <v>0</v>
      </c>
      <c r="Q90" s="332">
        <f t="shared" si="4"/>
        <v>0</v>
      </c>
      <c r="R90" s="332">
        <f t="shared" si="5"/>
        <v>0</v>
      </c>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row>
    <row r="91" spans="1:41" s="371" customFormat="1" ht="18" customHeight="1">
      <c r="A91" s="346" t="s">
        <v>866</v>
      </c>
      <c r="B91" s="347"/>
      <c r="C91" s="347"/>
      <c r="D91" s="348"/>
      <c r="E91" s="347"/>
      <c r="F91" s="348"/>
      <c r="G91" s="348"/>
      <c r="H91" s="347"/>
      <c r="I91" s="346" t="s">
        <v>866</v>
      </c>
      <c r="J91" s="347"/>
      <c r="K91" s="347"/>
      <c r="L91" s="348"/>
      <c r="M91" s="347"/>
      <c r="N91" s="348"/>
      <c r="O91" s="348"/>
      <c r="P91" s="347"/>
      <c r="Q91" s="332">
        <f t="shared" ref="Q91:Q153" si="14">SUM(B91,C91,D91,H91)</f>
        <v>0</v>
      </c>
      <c r="R91" s="332">
        <f t="shared" ref="R91:R153" si="15">SUM(J91,K91,L91,P91)</f>
        <v>0</v>
      </c>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row>
    <row r="92" spans="1:41" s="371" customFormat="1" ht="9.75" customHeight="1">
      <c r="A92" s="350"/>
      <c r="B92" s="359"/>
      <c r="C92" s="359"/>
      <c r="D92" s="359"/>
      <c r="E92" s="359"/>
      <c r="F92" s="359"/>
      <c r="G92" s="359"/>
      <c r="H92" s="359"/>
      <c r="I92" s="350"/>
      <c r="J92" s="359"/>
      <c r="K92" s="359"/>
      <c r="L92" s="359"/>
      <c r="M92" s="359"/>
      <c r="N92" s="359"/>
      <c r="O92" s="359"/>
      <c r="P92" s="359"/>
      <c r="Q92" s="332">
        <f t="shared" si="14"/>
        <v>0</v>
      </c>
      <c r="R92" s="332">
        <f t="shared" si="15"/>
        <v>0</v>
      </c>
      <c r="S92" s="384"/>
      <c r="T92" s="384"/>
      <c r="U92" s="384"/>
      <c r="V92" s="384"/>
      <c r="W92" s="384"/>
      <c r="X92" s="384"/>
      <c r="Y92" s="384"/>
      <c r="Z92" s="384"/>
      <c r="AA92" s="384"/>
      <c r="AB92" s="384"/>
      <c r="AC92" s="384"/>
      <c r="AD92" s="384"/>
      <c r="AE92" s="384"/>
      <c r="AF92" s="384"/>
      <c r="AG92" s="384"/>
      <c r="AH92" s="384"/>
      <c r="AI92" s="384"/>
      <c r="AJ92" s="384"/>
      <c r="AK92" s="384"/>
      <c r="AL92" s="384"/>
      <c r="AM92" s="384"/>
      <c r="AN92" s="384"/>
      <c r="AO92" s="384"/>
    </row>
    <row r="93" spans="1:41" s="371" customFormat="1" ht="13.5" customHeight="1">
      <c r="A93" s="356"/>
      <c r="B93" s="357"/>
      <c r="C93" s="345"/>
      <c r="D93" s="345"/>
      <c r="E93" s="345"/>
      <c r="F93" s="345"/>
      <c r="G93" s="345"/>
      <c r="H93" s="351" t="s">
        <v>980</v>
      </c>
      <c r="I93" s="356"/>
      <c r="J93" s="345"/>
      <c r="K93" s="345"/>
      <c r="L93" s="345"/>
      <c r="M93" s="345"/>
      <c r="N93" s="345"/>
      <c r="O93" s="345"/>
      <c r="P93" s="351" t="s">
        <v>980</v>
      </c>
      <c r="Q93" s="332">
        <f t="shared" si="14"/>
        <v>0</v>
      </c>
      <c r="R93" s="332">
        <f t="shared" si="15"/>
        <v>0</v>
      </c>
    </row>
    <row r="94" spans="1:41" ht="18">
      <c r="A94" s="293" t="s">
        <v>870</v>
      </c>
      <c r="B94" s="294"/>
      <c r="C94" s="294"/>
      <c r="D94" s="294"/>
      <c r="E94" s="294"/>
      <c r="F94" s="294"/>
      <c r="G94" s="294"/>
      <c r="H94" s="294"/>
      <c r="I94" s="293" t="s">
        <v>871</v>
      </c>
      <c r="J94" s="295"/>
      <c r="K94" s="295"/>
      <c r="L94" s="294"/>
      <c r="M94" s="295"/>
      <c r="N94" s="295"/>
      <c r="O94" s="295"/>
      <c r="P94" s="295"/>
      <c r="Q94" s="332">
        <f t="shared" si="14"/>
        <v>0</v>
      </c>
      <c r="R94" s="332">
        <f t="shared" si="15"/>
        <v>0</v>
      </c>
    </row>
    <row r="95" spans="1:41">
      <c r="A95" s="299"/>
      <c r="B95" s="295"/>
      <c r="C95" s="295"/>
      <c r="D95" s="295"/>
      <c r="E95" s="295"/>
      <c r="F95" s="295"/>
      <c r="G95" s="295"/>
      <c r="H95" s="295"/>
      <c r="I95" s="299"/>
      <c r="J95" s="295"/>
      <c r="K95" s="295"/>
      <c r="L95" s="295"/>
      <c r="M95" s="295"/>
      <c r="N95" s="295"/>
      <c r="O95" s="295"/>
      <c r="P95" s="295"/>
      <c r="Q95" s="332">
        <f t="shared" si="14"/>
        <v>0</v>
      </c>
      <c r="R95" s="332">
        <f t="shared" si="15"/>
        <v>0</v>
      </c>
    </row>
    <row r="96" spans="1:41" ht="15.75">
      <c r="A96" s="301" t="s">
        <v>846</v>
      </c>
      <c r="B96" s="295"/>
      <c r="C96" s="295"/>
      <c r="D96" s="295"/>
      <c r="E96" s="295"/>
      <c r="F96" s="295"/>
      <c r="G96" s="295"/>
      <c r="H96" s="295"/>
      <c r="I96" s="301" t="s">
        <v>847</v>
      </c>
      <c r="J96" s="295"/>
      <c r="K96" s="295"/>
      <c r="L96" s="295"/>
      <c r="M96" s="295"/>
      <c r="N96" s="295"/>
      <c r="O96" s="295"/>
      <c r="P96" s="295"/>
      <c r="Q96" s="332">
        <f t="shared" si="14"/>
        <v>0</v>
      </c>
      <c r="R96" s="332">
        <f t="shared" si="15"/>
        <v>0</v>
      </c>
    </row>
    <row r="97" spans="1:41" ht="15.75">
      <c r="A97" s="301" t="s">
        <v>984</v>
      </c>
      <c r="B97" s="295"/>
      <c r="C97" s="295"/>
      <c r="D97" s="295"/>
      <c r="E97" s="295"/>
      <c r="F97" s="295"/>
      <c r="G97" s="295"/>
      <c r="H97" s="295"/>
      <c r="I97" s="301" t="s">
        <v>984</v>
      </c>
      <c r="J97" s="295"/>
      <c r="K97" s="295"/>
      <c r="L97" s="295"/>
      <c r="M97" s="295"/>
      <c r="N97" s="295"/>
      <c r="O97" s="295"/>
      <c r="P97" s="295"/>
      <c r="Q97" s="332">
        <f t="shared" si="14"/>
        <v>0</v>
      </c>
      <c r="R97" s="332">
        <f t="shared" si="15"/>
        <v>0</v>
      </c>
    </row>
    <row r="98" spans="1:41">
      <c r="A98" s="304"/>
      <c r="B98" s="305"/>
      <c r="C98" s="305"/>
      <c r="D98" s="305"/>
      <c r="E98" s="305"/>
      <c r="F98" s="305"/>
      <c r="G98" s="305"/>
      <c r="H98" s="305"/>
      <c r="I98" s="306"/>
      <c r="L98" s="307"/>
      <c r="P98" s="304"/>
      <c r="Q98" s="332">
        <f t="shared" si="14"/>
        <v>0</v>
      </c>
      <c r="R98" s="332">
        <f t="shared" si="15"/>
        <v>0</v>
      </c>
    </row>
    <row r="99" spans="1:41" s="325" customFormat="1">
      <c r="A99" s="309"/>
      <c r="B99" s="310" t="s">
        <v>848</v>
      </c>
      <c r="C99" s="310"/>
      <c r="D99" s="310"/>
      <c r="E99" s="310"/>
      <c r="F99" s="310"/>
      <c r="G99" s="310"/>
      <c r="H99" s="311"/>
      <c r="I99" s="309"/>
      <c r="J99" s="310" t="s">
        <v>848</v>
      </c>
      <c r="K99" s="310"/>
      <c r="L99" s="310"/>
      <c r="M99" s="310"/>
      <c r="N99" s="310"/>
      <c r="O99" s="310"/>
      <c r="P99" s="311"/>
      <c r="Q99" s="332">
        <f t="shared" si="14"/>
        <v>0</v>
      </c>
      <c r="R99" s="332">
        <f t="shared" si="15"/>
        <v>0</v>
      </c>
    </row>
    <row r="100" spans="1:41" s="325" customFormat="1">
      <c r="A100" s="309"/>
      <c r="B100" s="310" t="s">
        <v>849</v>
      </c>
      <c r="C100" s="310"/>
      <c r="D100" s="450" t="s">
        <v>850</v>
      </c>
      <c r="E100" s="448"/>
      <c r="F100" s="448"/>
      <c r="G100" s="448"/>
      <c r="H100" s="317" t="s">
        <v>740</v>
      </c>
      <c r="I100" s="309"/>
      <c r="J100" s="310" t="s">
        <v>849</v>
      </c>
      <c r="K100" s="310"/>
      <c r="L100" s="450" t="s">
        <v>850</v>
      </c>
      <c r="M100" s="448"/>
      <c r="N100" s="448"/>
      <c r="O100" s="448"/>
      <c r="P100" s="317" t="s">
        <v>740</v>
      </c>
      <c r="Q100" s="332">
        <f t="shared" si="14"/>
        <v>0</v>
      </c>
      <c r="R100" s="332">
        <f t="shared" si="15"/>
        <v>0</v>
      </c>
    </row>
    <row r="101" spans="1:41" s="325" customFormat="1" ht="40.5" customHeight="1">
      <c r="A101" s="309"/>
      <c r="B101" s="318" t="s">
        <v>851</v>
      </c>
      <c r="C101" s="319" t="s">
        <v>852</v>
      </c>
      <c r="D101" s="320" t="s">
        <v>853</v>
      </c>
      <c r="E101" s="321" t="s">
        <v>8</v>
      </c>
      <c r="F101" s="318" t="s">
        <v>854</v>
      </c>
      <c r="G101" s="322" t="s">
        <v>864</v>
      </c>
      <c r="H101" s="323" t="s">
        <v>856</v>
      </c>
      <c r="I101" s="309"/>
      <c r="J101" s="318" t="s">
        <v>851</v>
      </c>
      <c r="K101" s="319" t="s">
        <v>852</v>
      </c>
      <c r="L101" s="320" t="s">
        <v>853</v>
      </c>
      <c r="M101" s="321" t="s">
        <v>8</v>
      </c>
      <c r="N101" s="318" t="s">
        <v>854</v>
      </c>
      <c r="O101" s="322" t="s">
        <v>864</v>
      </c>
      <c r="P101" s="323" t="s">
        <v>856</v>
      </c>
      <c r="Q101" s="332">
        <f t="shared" si="14"/>
        <v>0</v>
      </c>
      <c r="R101" s="332">
        <f t="shared" si="15"/>
        <v>0</v>
      </c>
      <c r="T101" s="324"/>
    </row>
    <row r="102" spans="1:41" ht="15.75" customHeight="1">
      <c r="A102" s="353" t="s">
        <v>825</v>
      </c>
      <c r="B102" s="380">
        <f>('Pivot Table for Data Exchange'!$E$7)*100</f>
        <v>75.132683363217268</v>
      </c>
      <c r="C102" s="327">
        <f>('Pivot Table for Data Exchange'!$E$10)*100</f>
        <v>0.356428334322344</v>
      </c>
      <c r="D102" s="328">
        <f>SUM(E102:G102)</f>
        <v>24.510888302460394</v>
      </c>
      <c r="E102" s="327">
        <f>('Pivot Table for Data Exchange'!$E$13)*100</f>
        <v>23.267170015418312</v>
      </c>
      <c r="F102" s="327">
        <f>('Pivot Table for Data Exchange'!$E$16)*100</f>
        <v>3.4989189237684251E-2</v>
      </c>
      <c r="G102" s="331">
        <f>('Pivot Table for Data Exchange'!$E$19)*100</f>
        <v>1.2087290978043963</v>
      </c>
      <c r="H102" s="327">
        <f>('Pivot Table for Data Exchange'!$E$22)*100</f>
        <v>0</v>
      </c>
      <c r="I102" s="330" t="s">
        <v>825</v>
      </c>
      <c r="J102" s="327">
        <f>('Pivot Table for Data Exchange'!$E$25)*100</f>
        <v>41.378884497934251</v>
      </c>
      <c r="K102" s="327">
        <f>('Pivot Table for Data Exchange'!$E$28)*100</f>
        <v>0.69157535476917553</v>
      </c>
      <c r="L102" s="328">
        <f>SUM(M102:O102)</f>
        <v>57.929540147296578</v>
      </c>
      <c r="M102" s="327">
        <f>('Pivot Table for Data Exchange'!$E$31)*100</f>
        <v>56.333078857553446</v>
      </c>
      <c r="N102" s="327">
        <f>('Pivot Table for Data Exchange'!$E$34)*100</f>
        <v>1.3472247170828093E-2</v>
      </c>
      <c r="O102" s="331">
        <f>('Pivot Table for Data Exchange'!$E$37)*100</f>
        <v>1.5829890425723012</v>
      </c>
      <c r="P102" s="327">
        <f>('Pivot Table for Data Exchange'!$E$40)*100</f>
        <v>0</v>
      </c>
      <c r="Q102" s="332">
        <f t="shared" si="14"/>
        <v>100</v>
      </c>
      <c r="R102" s="332">
        <f t="shared" si="15"/>
        <v>100</v>
      </c>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row>
    <row r="103" spans="1:41" ht="15.75" customHeight="1">
      <c r="A103" s="298" t="s">
        <v>826</v>
      </c>
      <c r="B103" s="327">
        <f>('Pivot Table for Data Exchange'!$E$43)*100</f>
        <v>72.733086489682293</v>
      </c>
      <c r="C103" s="327">
        <f>('Pivot Table for Data Exchange'!$E$46)*100</f>
        <v>5.0302333442529239</v>
      </c>
      <c r="D103" s="328">
        <f t="shared" ref="D103:D105" si="16">SUM(E103:G103)</f>
        <v>22.2250645060669</v>
      </c>
      <c r="E103" s="327">
        <f>('Pivot Table for Data Exchange'!$E$49)*100</f>
        <v>21.791761234235658</v>
      </c>
      <c r="F103" s="327">
        <f>('Pivot Table for Data Exchange'!$E$52)*100</f>
        <v>0.17815029097880858</v>
      </c>
      <c r="G103" s="335">
        <f>('Pivot Table for Data Exchange'!$E$55)*100</f>
        <v>0.25515298085243282</v>
      </c>
      <c r="H103" s="339">
        <f>('Pivot Table for Data Exchange'!$E$58)*100</f>
        <v>1.1615659997885688E-2</v>
      </c>
      <c r="I103" s="333" t="s">
        <v>826</v>
      </c>
      <c r="J103" s="327">
        <f>('Pivot Table for Data Exchange'!$E$61)*100</f>
        <v>31.352415966386555</v>
      </c>
      <c r="K103" s="327">
        <f>('Pivot Table for Data Exchange'!$E$64)*100</f>
        <v>0.10241596638655463</v>
      </c>
      <c r="L103" s="328">
        <f t="shared" ref="L103:L105" si="17">SUM(M103:O103)</f>
        <v>68.535320378151269</v>
      </c>
      <c r="M103" s="327">
        <f>('Pivot Table for Data Exchange'!$E$67)*100</f>
        <v>65.278361344537814</v>
      </c>
      <c r="N103" s="327">
        <f>('Pivot Table for Data Exchange'!$E$70)*100</f>
        <v>2.7895220588235294</v>
      </c>
      <c r="O103" s="335">
        <f>('Pivot Table for Data Exchange'!$E$73)*100</f>
        <v>0.46743697478991597</v>
      </c>
      <c r="P103" s="327">
        <f>('Pivot Table for Data Exchange'!$E$76)*100</f>
        <v>9.8476890756302518E-3</v>
      </c>
      <c r="Q103" s="332">
        <f t="shared" si="14"/>
        <v>100</v>
      </c>
      <c r="R103" s="332">
        <f t="shared" si="15"/>
        <v>100</v>
      </c>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1"/>
      <c r="AN103" s="381"/>
      <c r="AO103" s="381"/>
    </row>
    <row r="104" spans="1:41" ht="15.75" customHeight="1">
      <c r="A104" s="298" t="s">
        <v>827</v>
      </c>
      <c r="B104" s="327">
        <f>('Pivot Table for Data Exchange'!$E$79)*100</f>
        <v>92.338077300775353</v>
      </c>
      <c r="C104" s="327">
        <f>('Pivot Table for Data Exchange'!$E$82)*100</f>
        <v>0</v>
      </c>
      <c r="D104" s="328">
        <f t="shared" si="16"/>
        <v>7.6619226992246476</v>
      </c>
      <c r="E104" s="327">
        <f>('Pivot Table for Data Exchange'!$E$85)*100</f>
        <v>7.6619226992246476</v>
      </c>
      <c r="F104" s="327">
        <f>('Pivot Table for Data Exchange'!$E$88)*100</f>
        <v>0</v>
      </c>
      <c r="G104" s="335">
        <f>('Pivot Table for Data Exchange'!$E$91)*100</f>
        <v>0</v>
      </c>
      <c r="H104" s="327">
        <f>('Pivot Table for Data Exchange'!$E$94)*100</f>
        <v>0</v>
      </c>
      <c r="I104" s="333" t="s">
        <v>827</v>
      </c>
      <c r="J104" s="327">
        <f>('Pivot Table for Data Exchange'!$E$97)*100</f>
        <v>82.033898305084733</v>
      </c>
      <c r="K104" s="327">
        <f>('Pivot Table for Data Exchange'!$E$100)*100</f>
        <v>0</v>
      </c>
      <c r="L104" s="328">
        <f t="shared" si="17"/>
        <v>17.966101694915253</v>
      </c>
      <c r="M104" s="327">
        <f>('Pivot Table for Data Exchange'!$E$103)*100</f>
        <v>17.966101694915253</v>
      </c>
      <c r="N104" s="327">
        <f>('Pivot Table for Data Exchange'!$E$106)*100</f>
        <v>0</v>
      </c>
      <c r="O104" s="335">
        <f>('Pivot Table for Data Exchange'!$E$109)*100</f>
        <v>0</v>
      </c>
      <c r="P104" s="327">
        <f>('Pivot Table for Data Exchange'!$E$112)*100</f>
        <v>0</v>
      </c>
      <c r="Q104" s="332">
        <f t="shared" si="14"/>
        <v>100</v>
      </c>
      <c r="R104" s="332">
        <f t="shared" si="15"/>
        <v>99.999999999999986</v>
      </c>
      <c r="S104" s="381"/>
      <c r="T104" s="385"/>
      <c r="U104" s="381"/>
      <c r="V104" s="381"/>
      <c r="W104" s="381"/>
      <c r="X104" s="381"/>
      <c r="Y104" s="381"/>
      <c r="Z104" s="381"/>
      <c r="AA104" s="381"/>
      <c r="AB104" s="381"/>
      <c r="AC104" s="381"/>
      <c r="AD104" s="381"/>
      <c r="AE104" s="381"/>
      <c r="AF104" s="381"/>
      <c r="AG104" s="381"/>
      <c r="AH104" s="381"/>
      <c r="AI104" s="381"/>
      <c r="AJ104" s="381"/>
      <c r="AK104" s="381"/>
      <c r="AL104" s="381"/>
      <c r="AM104" s="381"/>
      <c r="AN104" s="381"/>
      <c r="AO104" s="381"/>
    </row>
    <row r="105" spans="1:41" ht="15.75" customHeight="1">
      <c r="A105" s="298" t="s">
        <v>865</v>
      </c>
      <c r="B105" s="327">
        <f>('Pivot Table for Data Exchange'!$E$115)*100</f>
        <v>0</v>
      </c>
      <c r="C105" s="327">
        <f>('Pivot Table for Data Exchange'!$E$118)*100</f>
        <v>0</v>
      </c>
      <c r="D105" s="328">
        <f t="shared" si="16"/>
        <v>0</v>
      </c>
      <c r="E105" s="327">
        <f>('Pivot Table for Data Exchange'!$E$121)*100</f>
        <v>0</v>
      </c>
      <c r="F105" s="327">
        <f>('Pivot Table for Data Exchange'!$E$124)*100</f>
        <v>0</v>
      </c>
      <c r="G105" s="335">
        <f>('Pivot Table for Data Exchange'!$E$127)*100</f>
        <v>0</v>
      </c>
      <c r="H105" s="327">
        <f>('Pivot Table for Data Exchange'!$E$130)*100</f>
        <v>0</v>
      </c>
      <c r="I105" s="333" t="s">
        <v>865</v>
      </c>
      <c r="J105" s="327">
        <f>('Pivot Table for Data Exchange'!$E$133)*100</f>
        <v>0</v>
      </c>
      <c r="K105" s="327">
        <f>('Pivot Table for Data Exchange'!$E$136)*100</f>
        <v>0</v>
      </c>
      <c r="L105" s="328">
        <f t="shared" si="17"/>
        <v>0</v>
      </c>
      <c r="M105" s="327">
        <f>('Pivot Table for Data Exchange'!$E$139)*100</f>
        <v>0</v>
      </c>
      <c r="N105" s="327">
        <f>('Pivot Table for Data Exchange'!$E$142)*100</f>
        <v>0</v>
      </c>
      <c r="O105" s="335">
        <f>('Pivot Table for Data Exchange'!$E$145)*100</f>
        <v>0</v>
      </c>
      <c r="P105" s="327">
        <f>('Pivot Table for Data Exchange'!$E$148)*100</f>
        <v>0</v>
      </c>
      <c r="Q105" s="332">
        <f t="shared" si="14"/>
        <v>0</v>
      </c>
      <c r="R105" s="332">
        <f t="shared" si="15"/>
        <v>0</v>
      </c>
      <c r="S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row>
    <row r="106" spans="1:41" ht="11.25" customHeight="1">
      <c r="B106" s="327"/>
      <c r="C106" s="327"/>
      <c r="D106" s="328"/>
      <c r="E106" s="327"/>
      <c r="F106" s="327"/>
      <c r="G106" s="335"/>
      <c r="H106" s="327"/>
      <c r="I106" s="333"/>
      <c r="J106" s="327"/>
      <c r="K106" s="327"/>
      <c r="L106" s="328"/>
      <c r="M106" s="327"/>
      <c r="N106" s="327"/>
      <c r="O106" s="335"/>
      <c r="P106" s="327"/>
      <c r="Q106" s="332">
        <f t="shared" si="14"/>
        <v>0</v>
      </c>
      <c r="R106" s="332">
        <f t="shared" si="15"/>
        <v>0</v>
      </c>
      <c r="S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row>
    <row r="107" spans="1:41" ht="15.75" customHeight="1">
      <c r="A107" s="298" t="s">
        <v>829</v>
      </c>
      <c r="B107" s="327">
        <f>('Pivot Table for Data Exchange'!$E$151)*100</f>
        <v>74.396211952408621</v>
      </c>
      <c r="C107" s="327">
        <f>('Pivot Table for Data Exchange'!$E$154)*100</f>
        <v>1.1470164610551794</v>
      </c>
      <c r="D107" s="328">
        <f t="shared" ref="D107:D108" si="18">SUM(E107:G107)</f>
        <v>24.456771586536199</v>
      </c>
      <c r="E107" s="327">
        <f>('Pivot Table for Data Exchange'!$E$157)*100</f>
        <v>24.437499302168543</v>
      </c>
      <c r="F107" s="339">
        <f>('Pivot Table for Data Exchange'!$E$160)*100</f>
        <v>1.354399833394257E-2</v>
      </c>
      <c r="G107" s="334">
        <f>('Pivot Table for Data Exchange'!$E$163)*100</f>
        <v>5.728286033710478E-3</v>
      </c>
      <c r="H107" s="327">
        <f>('Pivot Table for Data Exchange'!$E$166)*100</f>
        <v>0</v>
      </c>
      <c r="I107" s="333" t="s">
        <v>829</v>
      </c>
      <c r="J107" s="327">
        <f>('Pivot Table for Data Exchange'!$E$169)*100</f>
        <v>32.615383105764373</v>
      </c>
      <c r="K107" s="327">
        <f>('Pivot Table for Data Exchange'!$E$172)*100</f>
        <v>1.0381658415963027</v>
      </c>
      <c r="L107" s="328">
        <f t="shared" ref="L107:L108" si="19">SUM(M107:O107)</f>
        <v>66.346451052639338</v>
      </c>
      <c r="M107" s="327">
        <f>('Pivot Table for Data Exchange'!$E$175)*100</f>
        <v>66.339091653951272</v>
      </c>
      <c r="N107" s="336">
        <f>('Pivot Table for Data Exchange'!$E$178)*100</f>
        <v>7.3593986880645277E-3</v>
      </c>
      <c r="O107" s="335">
        <f>('Pivot Table for Data Exchange'!$E$181)*100</f>
        <v>0</v>
      </c>
      <c r="P107" s="327">
        <f>('Pivot Table for Data Exchange'!$E$184)*100</f>
        <v>0</v>
      </c>
      <c r="Q107" s="332">
        <f t="shared" si="14"/>
        <v>100</v>
      </c>
      <c r="R107" s="332">
        <f t="shared" si="15"/>
        <v>100.00000000000001</v>
      </c>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381"/>
    </row>
    <row r="108" spans="1:41" ht="15.75" customHeight="1">
      <c r="A108" s="298" t="s">
        <v>830</v>
      </c>
      <c r="B108" s="327">
        <f>('Pivot Table for Data Exchange'!$E$187)*100</f>
        <v>72.249816070860916</v>
      </c>
      <c r="C108" s="327">
        <f>('Pivot Table for Data Exchange'!$E$190)*100</f>
        <v>6.1524861222965965</v>
      </c>
      <c r="D108" s="328">
        <f t="shared" si="18"/>
        <v>21.597697806842486</v>
      </c>
      <c r="E108" s="327">
        <f>('Pivot Table for Data Exchange'!$E$193)*100</f>
        <v>20.218535543621027</v>
      </c>
      <c r="F108" s="327">
        <f>('Pivot Table for Data Exchange'!$E$196)*100</f>
        <v>1.3754869044387372</v>
      </c>
      <c r="G108" s="334">
        <f>('Pivot Table for Data Exchange'!$E$199)*100</f>
        <v>3.675358782721171E-3</v>
      </c>
      <c r="H108" s="327">
        <f>('Pivot Table for Data Exchange'!$E$202)*100</f>
        <v>0</v>
      </c>
      <c r="I108" s="333" t="s">
        <v>830</v>
      </c>
      <c r="J108" s="327">
        <f>('Pivot Table for Data Exchange'!$E$205)*100</f>
        <v>42.683542011589402</v>
      </c>
      <c r="K108" s="327">
        <f>('Pivot Table for Data Exchange'!$E$208)*100</f>
        <v>3.0441587334437084</v>
      </c>
      <c r="L108" s="328">
        <f t="shared" si="19"/>
        <v>54.272299254966882</v>
      </c>
      <c r="M108" s="327">
        <f>('Pivot Table for Data Exchange'!$E$211)*100</f>
        <v>53.611987789735096</v>
      </c>
      <c r="N108" s="327">
        <f>('Pivot Table for Data Exchange'!$E$214)*100</f>
        <v>0.65449089403973504</v>
      </c>
      <c r="O108" s="334">
        <f>('Pivot Table for Data Exchange'!$E$217)*100</f>
        <v>5.8205711920529804E-3</v>
      </c>
      <c r="P108" s="327">
        <f>('Pivot Table for Data Exchange'!$E$220)*100</f>
        <v>0</v>
      </c>
      <c r="Q108" s="332">
        <f t="shared" si="14"/>
        <v>100</v>
      </c>
      <c r="R108" s="332">
        <f t="shared" si="15"/>
        <v>100</v>
      </c>
      <c r="S108" s="381"/>
      <c r="T108" s="381"/>
      <c r="U108" s="381"/>
      <c r="V108" s="381"/>
      <c r="W108" s="381"/>
      <c r="X108" s="381"/>
      <c r="Y108" s="381"/>
      <c r="Z108" s="381"/>
      <c r="AA108" s="381"/>
      <c r="AB108" s="381"/>
      <c r="AC108" s="381"/>
      <c r="AD108" s="381"/>
      <c r="AE108" s="381"/>
      <c r="AF108" s="381"/>
      <c r="AG108" s="381"/>
      <c r="AH108" s="381"/>
      <c r="AI108" s="381"/>
      <c r="AJ108" s="381"/>
      <c r="AK108" s="381"/>
      <c r="AL108" s="381"/>
      <c r="AM108" s="381"/>
      <c r="AN108" s="381"/>
      <c r="AO108" s="381"/>
    </row>
    <row r="109" spans="1:41" ht="15.75" customHeight="1">
      <c r="A109" s="298" t="s">
        <v>831</v>
      </c>
      <c r="B109" s="327">
        <f>('Pivot Table for Data Exchange'!$E$223)*100</f>
        <v>80.504178027306992</v>
      </c>
      <c r="C109" s="327">
        <f>('Pivot Table for Data Exchange'!$E$226)*100</f>
        <v>0</v>
      </c>
      <c r="D109" s="328">
        <f>SUM(E109:G109)</f>
        <v>19.495821972693001</v>
      </c>
      <c r="E109" s="327">
        <f>('Pivot Table for Data Exchange'!$E$229)*100</f>
        <v>19.495821972693001</v>
      </c>
      <c r="F109" s="327">
        <f>('Pivot Table for Data Exchange'!$E$232)*100</f>
        <v>0</v>
      </c>
      <c r="G109" s="335">
        <f>('Pivot Table for Data Exchange'!$E$235)*100</f>
        <v>0</v>
      </c>
      <c r="H109" s="327">
        <f>('Pivot Table for Data Exchange'!$E$238)*100</f>
        <v>0</v>
      </c>
      <c r="I109" s="333" t="s">
        <v>831</v>
      </c>
      <c r="J109" s="327">
        <f>('Pivot Table for Data Exchange'!$E$241)*100</f>
        <v>57.942735342003417</v>
      </c>
      <c r="K109" s="327">
        <f>('Pivot Table for Data Exchange'!$E$244)*100</f>
        <v>0</v>
      </c>
      <c r="L109" s="328">
        <f>SUM(M109:O109)</f>
        <v>42.057264657996591</v>
      </c>
      <c r="M109" s="327">
        <f>('Pivot Table for Data Exchange'!$E$247)*100</f>
        <v>42.057264657996591</v>
      </c>
      <c r="N109" s="327">
        <f>('Pivot Table for Data Exchange'!$E$250)*100</f>
        <v>0</v>
      </c>
      <c r="O109" s="335">
        <f>('Pivot Table for Data Exchange'!$E$253)*100</f>
        <v>0</v>
      </c>
      <c r="P109" s="327">
        <f>('Pivot Table for Data Exchange'!$E$256)*100</f>
        <v>0</v>
      </c>
      <c r="Q109" s="332">
        <f t="shared" si="14"/>
        <v>100</v>
      </c>
      <c r="R109" s="332">
        <f t="shared" si="15"/>
        <v>100</v>
      </c>
      <c r="S109" s="381"/>
      <c r="T109" s="385"/>
      <c r="U109" s="381"/>
      <c r="V109" s="381"/>
      <c r="W109" s="381"/>
      <c r="X109" s="381"/>
      <c r="Y109" s="381"/>
      <c r="Z109" s="381"/>
      <c r="AA109" s="381"/>
      <c r="AB109" s="381"/>
      <c r="AC109" s="381"/>
      <c r="AD109" s="381"/>
      <c r="AE109" s="381"/>
      <c r="AF109" s="381"/>
      <c r="AG109" s="381"/>
      <c r="AH109" s="381"/>
      <c r="AI109" s="381"/>
      <c r="AJ109" s="381"/>
      <c r="AK109" s="381"/>
      <c r="AL109" s="381"/>
      <c r="AM109" s="381"/>
      <c r="AN109" s="381"/>
      <c r="AO109" s="381"/>
    </row>
    <row r="110" spans="1:41" ht="15.75" customHeight="1">
      <c r="A110" s="298" t="s">
        <v>832</v>
      </c>
      <c r="B110" s="327">
        <f>('Pivot Table for Data Exchange'!$E$259)*100</f>
        <v>85.34977730424103</v>
      </c>
      <c r="C110" s="327">
        <f>('Pivot Table for Data Exchange'!$E$262)*100</f>
        <v>1.7245881873047229</v>
      </c>
      <c r="D110" s="328">
        <f>SUM(E110:G110)</f>
        <v>12.925634508454237</v>
      </c>
      <c r="E110" s="327">
        <f>('Pivot Table for Data Exchange'!$E$265)*100</f>
        <v>12.925634508454237</v>
      </c>
      <c r="F110" s="339">
        <f>('Pivot Table for Data Exchange'!$E$268)*100</f>
        <v>0</v>
      </c>
      <c r="G110" s="335">
        <f>('Pivot Table for Data Exchange'!$E$271)*100</f>
        <v>0</v>
      </c>
      <c r="H110" s="327">
        <f>('Pivot Table for Data Exchange'!$E$274)*100</f>
        <v>0</v>
      </c>
      <c r="I110" s="333" t="s">
        <v>832</v>
      </c>
      <c r="J110" s="327">
        <f>('Pivot Table for Data Exchange'!$E$277)*100</f>
        <v>67.174349695390177</v>
      </c>
      <c r="K110" s="327">
        <f>('Pivot Table for Data Exchange'!$E$280)*100</f>
        <v>10.86552348068591</v>
      </c>
      <c r="L110" s="328">
        <f>SUM(M110:O110)</f>
        <v>21.960126823923908</v>
      </c>
      <c r="M110" s="327">
        <f>('Pivot Table for Data Exchange'!$E$283)*100</f>
        <v>21.960126823923908</v>
      </c>
      <c r="N110" s="327">
        <f>('Pivot Table for Data Exchange'!$E$286)*100</f>
        <v>0</v>
      </c>
      <c r="O110" s="335">
        <f>('Pivot Table for Data Exchange'!$E$289)*100</f>
        <v>0</v>
      </c>
      <c r="P110" s="327">
        <f>('Pivot Table for Data Exchange'!$E$292)*100</f>
        <v>0</v>
      </c>
      <c r="Q110" s="332">
        <f t="shared" si="14"/>
        <v>99.999999999999986</v>
      </c>
      <c r="R110" s="332">
        <f t="shared" si="15"/>
        <v>100</v>
      </c>
      <c r="S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row>
    <row r="111" spans="1:41" ht="11.25" customHeight="1">
      <c r="B111" s="327"/>
      <c r="C111" s="327"/>
      <c r="D111" s="328"/>
      <c r="E111" s="327"/>
      <c r="F111" s="327"/>
      <c r="G111" s="335"/>
      <c r="H111" s="327"/>
      <c r="I111" s="333"/>
      <c r="J111" s="327"/>
      <c r="K111" s="327"/>
      <c r="L111" s="328"/>
      <c r="M111" s="327"/>
      <c r="N111" s="327"/>
      <c r="O111" s="335"/>
      <c r="P111" s="327"/>
      <c r="Q111" s="332">
        <f t="shared" si="14"/>
        <v>0</v>
      </c>
      <c r="R111" s="332">
        <f t="shared" si="15"/>
        <v>0</v>
      </c>
      <c r="S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row>
    <row r="112" spans="1:41" ht="15.75" customHeight="1">
      <c r="A112" s="298" t="s">
        <v>833</v>
      </c>
      <c r="B112" s="327">
        <f>('Pivot Table for Data Exchange'!$E$295)*100</f>
        <v>0</v>
      </c>
      <c r="C112" s="327">
        <f>('Pivot Table for Data Exchange'!$E$298)*100</f>
        <v>0</v>
      </c>
      <c r="D112" s="328">
        <f>SUM(E112:G112)</f>
        <v>0</v>
      </c>
      <c r="E112" s="327">
        <f>('Pivot Table for Data Exchange'!$E$301)*100</f>
        <v>0</v>
      </c>
      <c r="F112" s="327">
        <f>('Pivot Table for Data Exchange'!$E$304)*100</f>
        <v>0</v>
      </c>
      <c r="G112" s="335">
        <f>('Pivot Table for Data Exchange'!$E$307)*100</f>
        <v>0</v>
      </c>
      <c r="H112" s="327">
        <f>('Pivot Table for Data Exchange'!$E$310)*100</f>
        <v>0</v>
      </c>
      <c r="I112" s="333" t="s">
        <v>833</v>
      </c>
      <c r="J112" s="327">
        <f>('Pivot Table for Data Exchange'!$E$313)*100</f>
        <v>0</v>
      </c>
      <c r="K112" s="327">
        <f>('Pivot Table for Data Exchange'!$E$316)*100</f>
        <v>0</v>
      </c>
      <c r="L112" s="328">
        <f>SUM(M112:O112)</f>
        <v>0</v>
      </c>
      <c r="M112" s="327">
        <f>('Pivot Table for Data Exchange'!$E$319)*100</f>
        <v>0</v>
      </c>
      <c r="N112" s="327">
        <f>('Pivot Table for Data Exchange'!$E$322)*100</f>
        <v>0</v>
      </c>
      <c r="O112" s="335">
        <f>('Pivot Table for Data Exchange'!$E$325)*100</f>
        <v>0</v>
      </c>
      <c r="P112" s="327">
        <f>('Pivot Table for Data Exchange'!$E$328)*100</f>
        <v>0</v>
      </c>
      <c r="Q112" s="332">
        <f t="shared" si="14"/>
        <v>0</v>
      </c>
      <c r="R112" s="332">
        <f t="shared" si="15"/>
        <v>0</v>
      </c>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row>
    <row r="113" spans="1:41" ht="15.75" customHeight="1">
      <c r="A113" s="298" t="s">
        <v>834</v>
      </c>
      <c r="B113" s="327">
        <f>('Pivot Table for Data Exchange'!$E$331)*100</f>
        <v>82.668568110094284</v>
      </c>
      <c r="C113" s="327">
        <f>('Pivot Table for Data Exchange'!$E$334)*100</f>
        <v>0.65502713345563657</v>
      </c>
      <c r="D113" s="328">
        <f>SUM(E113:G113)</f>
        <v>16.676404756450079</v>
      </c>
      <c r="E113" s="327">
        <f>('Pivot Table for Data Exchange'!$E$337)*100</f>
        <v>16.66415074681381</v>
      </c>
      <c r="F113" s="339">
        <f>('Pivot Table for Data Exchange'!$E$340)*100</f>
        <v>1.2254009636269027E-2</v>
      </c>
      <c r="G113" s="334">
        <f>('Pivot Table for Data Exchange'!$E$343)*100</f>
        <v>0</v>
      </c>
      <c r="H113" s="327">
        <f>('Pivot Table for Data Exchange'!$E$346)*100</f>
        <v>0</v>
      </c>
      <c r="I113" s="333" t="s">
        <v>834</v>
      </c>
      <c r="J113" s="327">
        <f>('Pivot Table for Data Exchange'!$E$349)*100</f>
        <v>56.513552835886593</v>
      </c>
      <c r="K113" s="327">
        <f>('Pivot Table for Data Exchange'!$E$352)*100</f>
        <v>5.7439082539643724</v>
      </c>
      <c r="L113" s="328">
        <f>SUM(M113:O113)</f>
        <v>37.742538910149044</v>
      </c>
      <c r="M113" s="327">
        <f>('Pivot Table for Data Exchange'!$E$355)*100</f>
        <v>37.720531598831172</v>
      </c>
      <c r="N113" s="339">
        <f>('Pivot Table for Data Exchange'!$E$358)*100</f>
        <v>2.2007311317871158E-2</v>
      </c>
      <c r="O113" s="335">
        <f>('Pivot Table for Data Exchange'!$E$361)*100</f>
        <v>0</v>
      </c>
      <c r="P113" s="327">
        <f>('Pivot Table for Data Exchange'!$E$364)*100</f>
        <v>0</v>
      </c>
      <c r="Q113" s="332">
        <f t="shared" si="14"/>
        <v>100</v>
      </c>
      <c r="R113" s="332">
        <f t="shared" si="15"/>
        <v>100</v>
      </c>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row>
    <row r="114" spans="1:41" ht="15.75" customHeight="1">
      <c r="A114" s="298" t="s">
        <v>835</v>
      </c>
      <c r="B114" s="327">
        <f>('Pivot Table for Data Exchange'!$E$367)*100</f>
        <v>73.184446520589773</v>
      </c>
      <c r="C114" s="327">
        <f>('Pivot Table for Data Exchange'!$E$370)*100</f>
        <v>0.99991647939274686</v>
      </c>
      <c r="D114" s="328">
        <f>SUM(E114:G114)</f>
        <v>25.815637000017485</v>
      </c>
      <c r="E114" s="327">
        <f>('Pivot Table for Data Exchange'!$E$373)*100</f>
        <v>24.449589486503655</v>
      </c>
      <c r="F114" s="327">
        <f>('Pivot Table for Data Exchange'!$E$376)*100</f>
        <v>0.60600998751075574</v>
      </c>
      <c r="G114" s="335">
        <f>('Pivot Table for Data Exchange'!$E$379)*100</f>
        <v>0.76003752600307284</v>
      </c>
      <c r="H114" s="327">
        <f>('Pivot Table for Data Exchange'!$E$382)*100</f>
        <v>0</v>
      </c>
      <c r="I114" s="333" t="s">
        <v>835</v>
      </c>
      <c r="J114" s="327">
        <f>('Pivot Table for Data Exchange'!$E$385)*100</f>
        <v>59.353791424180145</v>
      </c>
      <c r="K114" s="327">
        <f>('Pivot Table for Data Exchange'!$E$388)*100</f>
        <v>0.3471082943340183</v>
      </c>
      <c r="L114" s="328">
        <f>SUM(M114:O114)</f>
        <v>17.833767938245806</v>
      </c>
      <c r="M114" s="327">
        <f>('Pivot Table for Data Exchange'!$E$391)*100</f>
        <v>13.951681143903155</v>
      </c>
      <c r="N114" s="327">
        <f>('Pivot Table for Data Exchange'!$E$394)*100</f>
        <v>1.405702246705925</v>
      </c>
      <c r="O114" s="335">
        <f>('Pivot Table for Data Exchange'!$E$397)*100</f>
        <v>2.4763845476367279</v>
      </c>
      <c r="P114" s="327">
        <f>('Pivot Table for Data Exchange'!$E$400)*100</f>
        <v>0</v>
      </c>
      <c r="Q114" s="332">
        <f t="shared" si="14"/>
        <v>100.00000000000001</v>
      </c>
      <c r="R114" s="332">
        <f t="shared" si="15"/>
        <v>77.534667656759979</v>
      </c>
      <c r="S114" s="381"/>
      <c r="T114" s="385"/>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row>
    <row r="115" spans="1:41" ht="15.75" customHeight="1">
      <c r="A115" s="298" t="s">
        <v>836</v>
      </c>
      <c r="B115" s="327">
        <f>('Pivot Table for Data Exchange'!$E$403)*100</f>
        <v>90.722742846095073</v>
      </c>
      <c r="C115" s="327">
        <f>('Pivot Table for Data Exchange'!$E$406)*100</f>
        <v>1.3999215501103317</v>
      </c>
      <c r="D115" s="328">
        <f>SUM(E115:G115)</f>
        <v>7.8773356037945952</v>
      </c>
      <c r="E115" s="327">
        <f>('Pivot Table for Data Exchange'!$E$409)*100</f>
        <v>7.8773356037945952</v>
      </c>
      <c r="F115" s="339">
        <f>('Pivot Table for Data Exchange'!$E$412)*100</f>
        <v>0</v>
      </c>
      <c r="G115" s="335">
        <f>('Pivot Table for Data Exchange'!$E$415)*100</f>
        <v>0</v>
      </c>
      <c r="H115" s="327">
        <f>('Pivot Table for Data Exchange'!$E$418)*100</f>
        <v>0</v>
      </c>
      <c r="I115" s="333" t="s">
        <v>836</v>
      </c>
      <c r="J115" s="327">
        <f>('Pivot Table for Data Exchange'!$E$421)*100</f>
        <v>56.645856226829771</v>
      </c>
      <c r="K115" s="327">
        <f>('Pivot Table for Data Exchange'!$E$424)*100</f>
        <v>9.5470408520607162</v>
      </c>
      <c r="L115" s="328">
        <f>SUM(M115:O115)</f>
        <v>33.807102921109518</v>
      </c>
      <c r="M115" s="327">
        <f>('Pivot Table for Data Exchange'!$E$427)*100</f>
        <v>33.807102921109518</v>
      </c>
      <c r="N115" s="327">
        <f>('Pivot Table for Data Exchange'!$E$430)*100</f>
        <v>0</v>
      </c>
      <c r="O115" s="334">
        <f>('Pivot Table for Data Exchange'!$E$433)*100</f>
        <v>0</v>
      </c>
      <c r="P115" s="327">
        <f>('Pivot Table for Data Exchange'!$E$436)*100</f>
        <v>0</v>
      </c>
      <c r="Q115" s="332">
        <f t="shared" si="14"/>
        <v>100</v>
      </c>
      <c r="R115" s="332">
        <f t="shared" si="15"/>
        <v>100</v>
      </c>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1"/>
      <c r="AN115" s="381"/>
      <c r="AO115" s="381"/>
    </row>
    <row r="116" spans="1:41" ht="11.25" customHeight="1">
      <c r="B116" s="327"/>
      <c r="C116" s="327"/>
      <c r="D116" s="328"/>
      <c r="E116" s="327"/>
      <c r="F116" s="327"/>
      <c r="G116" s="335"/>
      <c r="H116" s="327"/>
      <c r="I116" s="333"/>
      <c r="J116" s="327"/>
      <c r="K116" s="327"/>
      <c r="L116" s="328"/>
      <c r="M116" s="327"/>
      <c r="N116" s="327"/>
      <c r="O116" s="335"/>
      <c r="P116" s="327"/>
      <c r="Q116" s="332">
        <f t="shared" si="14"/>
        <v>0</v>
      </c>
      <c r="R116" s="332">
        <f t="shared" si="15"/>
        <v>0</v>
      </c>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row>
    <row r="117" spans="1:41" ht="15.75" customHeight="1">
      <c r="A117" s="298" t="s">
        <v>837</v>
      </c>
      <c r="B117" s="327">
        <f>('Pivot Table for Data Exchange'!$E$439)*100</f>
        <v>68.095128750161962</v>
      </c>
      <c r="C117" s="327">
        <f>('Pivot Table for Data Exchange'!$E$442)*100</f>
        <v>2.3778339082501958</v>
      </c>
      <c r="D117" s="328">
        <f>SUM(E117:G117)</f>
        <v>28.735152969790889</v>
      </c>
      <c r="E117" s="327">
        <f>('Pivot Table for Data Exchange'!$E$445)*100</f>
        <v>18.847566427591904</v>
      </c>
      <c r="F117" s="327">
        <f>('Pivot Table for Data Exchange'!$E$448)*100</f>
        <v>0</v>
      </c>
      <c r="G117" s="335">
        <f>('Pivot Table for Data Exchange'!$E$451)*100</f>
        <v>9.8875865421989833</v>
      </c>
      <c r="H117" s="327">
        <f>('Pivot Table for Data Exchange'!$E$454)*100</f>
        <v>0.79188437179696058</v>
      </c>
      <c r="I117" s="333" t="s">
        <v>837</v>
      </c>
      <c r="J117" s="327">
        <f>('Pivot Table for Data Exchange'!$E$457)*100</f>
        <v>41.711914174636242</v>
      </c>
      <c r="K117" s="327">
        <f>('Pivot Table for Data Exchange'!$E$460)*100</f>
        <v>0.25098013484030773</v>
      </c>
      <c r="L117" s="328">
        <f>SUM(M117:O117)</f>
        <v>55.258279883860176</v>
      </c>
      <c r="M117" s="327">
        <f>('Pivot Table for Data Exchange'!$E$463)*100</f>
        <v>51.1753416118502</v>
      </c>
      <c r="N117" s="327">
        <f>('Pivot Table for Data Exchange'!$E$466)*100</f>
        <v>0</v>
      </c>
      <c r="O117" s="335">
        <f>('Pivot Table for Data Exchange'!$E$469)*100</f>
        <v>4.0829382720099732</v>
      </c>
      <c r="P117" s="327">
        <f>('Pivot Table for Data Exchange'!$E$472)*100</f>
        <v>2.7788258066632765</v>
      </c>
      <c r="Q117" s="332">
        <f t="shared" si="14"/>
        <v>100</v>
      </c>
      <c r="R117" s="332">
        <f t="shared" si="15"/>
        <v>100</v>
      </c>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row>
    <row r="118" spans="1:41" ht="15.75" customHeight="1">
      <c r="A118" s="298" t="s">
        <v>838</v>
      </c>
      <c r="B118" s="327">
        <f>('Pivot Table for Data Exchange'!$E$475)*100</f>
        <v>73.272734066729711</v>
      </c>
      <c r="C118" s="327">
        <f>('Pivot Table for Data Exchange'!$E$478)*100</f>
        <v>2.0320618681274416</v>
      </c>
      <c r="D118" s="328">
        <f>SUM(E118:G118)</f>
        <v>24.695204065142836</v>
      </c>
      <c r="E118" s="327">
        <f>('Pivot Table for Data Exchange'!$E$481)*100</f>
        <v>23.34872983697791</v>
      </c>
      <c r="F118" s="327">
        <f>('Pivot Table for Data Exchange'!$E$484)*100</f>
        <v>0.72678841195530897</v>
      </c>
      <c r="G118" s="335">
        <f>('Pivot Table for Data Exchange'!$E$487)*100</f>
        <v>0.61968581620961638</v>
      </c>
      <c r="H118" s="327">
        <f>('Pivot Table for Data Exchange'!$E$490)*100</f>
        <v>0</v>
      </c>
      <c r="I118" s="333" t="s">
        <v>838</v>
      </c>
      <c r="J118" s="327">
        <f>('Pivot Table for Data Exchange'!$E$493)*100</f>
        <v>33.054583007984682</v>
      </c>
      <c r="K118" s="327">
        <f>('Pivot Table for Data Exchange'!$E$496)*100</f>
        <v>2.7886391956344259</v>
      </c>
      <c r="L118" s="328">
        <f>SUM(M118:O118)</f>
        <v>64.156777796380894</v>
      </c>
      <c r="M118" s="327">
        <f>('Pivot Table for Data Exchange'!$E$499)*100</f>
        <v>62.329293824277656</v>
      </c>
      <c r="N118" s="327">
        <f>('Pivot Table for Data Exchange'!$E$502)*100</f>
        <v>0.71371739043467564</v>
      </c>
      <c r="O118" s="335">
        <f>('Pivot Table for Data Exchange'!$E$505)*100</f>
        <v>1.1137665816685607</v>
      </c>
      <c r="P118" s="327">
        <f>('Pivot Table for Data Exchange'!$E$508)*100</f>
        <v>0</v>
      </c>
      <c r="Q118" s="332">
        <f t="shared" si="14"/>
        <v>99.999999999999986</v>
      </c>
      <c r="R118" s="332">
        <f t="shared" si="15"/>
        <v>100</v>
      </c>
      <c r="S118" s="381"/>
      <c r="T118" s="381"/>
      <c r="U118" s="381"/>
      <c r="V118" s="381"/>
      <c r="W118" s="381"/>
      <c r="X118" s="381"/>
      <c r="Y118" s="381"/>
      <c r="Z118" s="381"/>
      <c r="AA118" s="381"/>
      <c r="AB118" s="381"/>
      <c r="AC118" s="381"/>
      <c r="AD118" s="381"/>
      <c r="AE118" s="381"/>
      <c r="AF118" s="381"/>
      <c r="AG118" s="381"/>
      <c r="AH118" s="381"/>
      <c r="AI118" s="381"/>
      <c r="AJ118" s="381"/>
      <c r="AK118" s="381"/>
      <c r="AL118" s="381"/>
      <c r="AM118" s="381"/>
      <c r="AN118" s="381"/>
      <c r="AO118" s="381"/>
    </row>
    <row r="119" spans="1:41" ht="15.75" customHeight="1">
      <c r="A119" s="298" t="s">
        <v>839</v>
      </c>
      <c r="B119" s="327">
        <f>('Pivot Table for Data Exchange'!$E$511)*100</f>
        <v>89.097338684175668</v>
      </c>
      <c r="C119" s="327">
        <f>('Pivot Table for Data Exchange'!$E$514)*100</f>
        <v>1.4714364562621054</v>
      </c>
      <c r="D119" s="328">
        <f>SUM(E119:G119)</f>
        <v>9.4312248595622297</v>
      </c>
      <c r="E119" s="327">
        <f>('Pivot Table for Data Exchange'!$E$517)*100</f>
        <v>9.3568950534681345</v>
      </c>
      <c r="F119" s="327">
        <f>('Pivot Table for Data Exchange'!$E$520)*100</f>
        <v>7.4329806094095216E-2</v>
      </c>
      <c r="G119" s="335">
        <f>('Pivot Table for Data Exchange'!$E$523)*100</f>
        <v>0</v>
      </c>
      <c r="H119" s="327">
        <f>('Pivot Table for Data Exchange'!$E$526)*100</f>
        <v>0</v>
      </c>
      <c r="I119" s="333" t="s">
        <v>839</v>
      </c>
      <c r="J119" s="327">
        <f>('Pivot Table for Data Exchange'!$E$529)*100</f>
        <v>62.321163602369722</v>
      </c>
      <c r="K119" s="327">
        <f>('Pivot Table for Data Exchange'!$E$532)*100</f>
        <v>11.744940547715062</v>
      </c>
      <c r="L119" s="328">
        <f>SUM(M119:O119)</f>
        <v>25.933895849915228</v>
      </c>
      <c r="M119" s="327">
        <f>('Pivot Table for Data Exchange'!$E$535)*100</f>
        <v>23.591301644556253</v>
      </c>
      <c r="N119" s="327">
        <f>('Pivot Table for Data Exchange'!$E$538)*100</f>
        <v>2.3425942053589739</v>
      </c>
      <c r="O119" s="335">
        <f>('Pivot Table for Data Exchange'!$E$541)*100</f>
        <v>0</v>
      </c>
      <c r="P119" s="327">
        <f>('Pivot Table for Data Exchange'!$E$544)*100</f>
        <v>0</v>
      </c>
      <c r="Q119" s="332">
        <f t="shared" si="14"/>
        <v>100.00000000000001</v>
      </c>
      <c r="R119" s="332">
        <f t="shared" si="15"/>
        <v>100.00000000000001</v>
      </c>
      <c r="S119" s="381"/>
      <c r="T119" s="381"/>
      <c r="U119" s="381"/>
      <c r="V119" s="381"/>
      <c r="W119" s="381"/>
      <c r="X119" s="381"/>
      <c r="Y119" s="381"/>
      <c r="Z119" s="381"/>
      <c r="AA119" s="381"/>
      <c r="AB119" s="381"/>
      <c r="AC119" s="381"/>
      <c r="AD119" s="381"/>
      <c r="AE119" s="381"/>
      <c r="AF119" s="381"/>
      <c r="AG119" s="381"/>
      <c r="AH119" s="381"/>
      <c r="AI119" s="381"/>
      <c r="AJ119" s="381"/>
      <c r="AK119" s="381"/>
      <c r="AL119" s="381"/>
      <c r="AM119" s="381"/>
      <c r="AN119" s="381"/>
      <c r="AO119" s="381"/>
    </row>
    <row r="120" spans="1:41" ht="15.75" customHeight="1">
      <c r="A120" s="304" t="s">
        <v>840</v>
      </c>
      <c r="B120" s="340">
        <f>('Pivot Table for Data Exchange'!$E$547)*100</f>
        <v>72.522633119375826</v>
      </c>
      <c r="C120" s="340">
        <f>('Pivot Table for Data Exchange'!$E$550)*100</f>
        <v>9.7683880698226382</v>
      </c>
      <c r="D120" s="341">
        <f>SUM(E120:G120)</f>
        <v>17.708978810801543</v>
      </c>
      <c r="E120" s="340">
        <f>('Pivot Table for Data Exchange'!$E$553)*100</f>
        <v>16.275970116098257</v>
      </c>
      <c r="F120" s="340">
        <f>('Pivot Table for Data Exchange'!$E$556)*100</f>
        <v>1.433008694703285</v>
      </c>
      <c r="G120" s="342">
        <f>('Pivot Table for Data Exchange'!$E$559)*100</f>
        <v>0</v>
      </c>
      <c r="H120" s="340">
        <f>('Pivot Table for Data Exchange'!$E$562)*100</f>
        <v>0</v>
      </c>
      <c r="I120" s="343" t="s">
        <v>840</v>
      </c>
      <c r="J120" s="340">
        <f>('Pivot Table for Data Exchange'!$E$565)*100</f>
        <v>51.809433850876673</v>
      </c>
      <c r="K120" s="340">
        <f>('Pivot Table for Data Exchange'!$E$568)*100</f>
        <v>16.057618513489579</v>
      </c>
      <c r="L120" s="341">
        <f>SUM(M120:O120)</f>
        <v>32.132947635633741</v>
      </c>
      <c r="M120" s="340">
        <f>('Pivot Table for Data Exchange'!$E$571)*100</f>
        <v>31.062931696085954</v>
      </c>
      <c r="N120" s="340">
        <f>('Pivot Table for Data Exchange'!$E$574)*100</f>
        <v>1.0700159395477891</v>
      </c>
      <c r="O120" s="342">
        <f>('Pivot Table for Data Exchange'!$E$577)*100</f>
        <v>0</v>
      </c>
      <c r="P120" s="340">
        <f>('Pivot Table for Data Exchange'!$E$580)*100</f>
        <v>0</v>
      </c>
      <c r="Q120" s="332">
        <f t="shared" si="14"/>
        <v>100</v>
      </c>
      <c r="R120" s="332">
        <f t="shared" si="15"/>
        <v>100</v>
      </c>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row>
    <row r="121" spans="1:41" s="371" customFormat="1" ht="13.5" customHeight="1">
      <c r="A121" s="346" t="s">
        <v>866</v>
      </c>
      <c r="B121" s="347"/>
      <c r="C121" s="347"/>
      <c r="D121" s="348"/>
      <c r="E121" s="347"/>
      <c r="F121" s="348"/>
      <c r="G121" s="348"/>
      <c r="H121" s="347"/>
      <c r="I121" s="346" t="s">
        <v>866</v>
      </c>
      <c r="J121" s="347"/>
      <c r="K121" s="347"/>
      <c r="L121" s="348"/>
      <c r="M121" s="347"/>
      <c r="N121" s="348"/>
      <c r="O121" s="348"/>
      <c r="P121" s="347"/>
      <c r="Q121" s="332">
        <f t="shared" si="14"/>
        <v>0</v>
      </c>
      <c r="R121" s="332">
        <f t="shared" si="15"/>
        <v>0</v>
      </c>
      <c r="S121" s="384"/>
      <c r="T121" s="384"/>
      <c r="U121" s="384"/>
      <c r="V121" s="384"/>
      <c r="W121" s="384"/>
      <c r="X121" s="384"/>
      <c r="Y121" s="384"/>
      <c r="Z121" s="384"/>
      <c r="AA121" s="384"/>
      <c r="AB121" s="384"/>
      <c r="AC121" s="384"/>
      <c r="AD121" s="384"/>
      <c r="AE121" s="384"/>
      <c r="AF121" s="384"/>
      <c r="AG121" s="384"/>
      <c r="AH121" s="384"/>
      <c r="AI121" s="384"/>
      <c r="AJ121" s="384"/>
      <c r="AK121" s="384"/>
      <c r="AL121" s="384"/>
      <c r="AM121" s="384"/>
      <c r="AN121" s="384"/>
      <c r="AO121" s="384"/>
    </row>
    <row r="122" spans="1:41" s="371" customFormat="1" ht="26.25" customHeight="1">
      <c r="A122" s="455" t="s">
        <v>872</v>
      </c>
      <c r="B122" s="456"/>
      <c r="C122" s="456"/>
      <c r="D122" s="456"/>
      <c r="E122" s="456"/>
      <c r="F122" s="456"/>
      <c r="G122" s="456"/>
      <c r="H122" s="456"/>
      <c r="I122" s="455" t="s">
        <v>872</v>
      </c>
      <c r="J122" s="456"/>
      <c r="K122" s="456"/>
      <c r="L122" s="456"/>
      <c r="M122" s="456"/>
      <c r="N122" s="456"/>
      <c r="O122" s="456"/>
      <c r="P122" s="456"/>
      <c r="Q122" s="332">
        <f t="shared" si="14"/>
        <v>0</v>
      </c>
      <c r="R122" s="332">
        <f t="shared" si="15"/>
        <v>0</v>
      </c>
      <c r="S122" s="384"/>
      <c r="T122" s="384"/>
      <c r="U122" s="384"/>
      <c r="V122" s="384"/>
      <c r="W122" s="384"/>
      <c r="X122" s="384"/>
      <c r="Y122" s="384"/>
      <c r="Z122" s="384"/>
      <c r="AA122" s="384"/>
      <c r="AB122" s="384"/>
      <c r="AC122" s="384"/>
      <c r="AD122" s="384"/>
      <c r="AE122" s="384"/>
      <c r="AF122" s="384"/>
      <c r="AG122" s="384"/>
      <c r="AH122" s="384"/>
      <c r="AI122" s="384"/>
      <c r="AJ122" s="384"/>
      <c r="AK122" s="384"/>
      <c r="AL122" s="384"/>
      <c r="AM122" s="384"/>
      <c r="AN122" s="384"/>
      <c r="AO122" s="384"/>
    </row>
    <row r="123" spans="1:41" s="371" customFormat="1" ht="13.5" customHeight="1">
      <c r="A123" s="356"/>
      <c r="B123" s="357"/>
      <c r="C123" s="345"/>
      <c r="D123" s="345"/>
      <c r="E123" s="345"/>
      <c r="F123" s="345"/>
      <c r="G123" s="345"/>
      <c r="H123" s="345"/>
      <c r="I123" s="356"/>
      <c r="J123" s="345"/>
      <c r="K123" s="345"/>
      <c r="L123" s="345"/>
      <c r="M123" s="345"/>
      <c r="N123" s="345"/>
      <c r="O123" s="345"/>
      <c r="P123" s="358"/>
      <c r="Q123" s="332">
        <f t="shared" si="14"/>
        <v>0</v>
      </c>
      <c r="R123" s="332">
        <f t="shared" si="15"/>
        <v>0</v>
      </c>
    </row>
    <row r="124" spans="1:41" s="371" customFormat="1" ht="13.5" customHeight="1">
      <c r="A124" s="345"/>
      <c r="B124" s="345"/>
      <c r="C124" s="345"/>
      <c r="D124" s="345"/>
      <c r="E124" s="345"/>
      <c r="F124" s="345"/>
      <c r="G124" s="345"/>
      <c r="H124" s="351" t="s">
        <v>980</v>
      </c>
      <c r="I124" s="356"/>
      <c r="J124" s="345"/>
      <c r="K124" s="345"/>
      <c r="L124" s="345"/>
      <c r="M124" s="345"/>
      <c r="N124" s="345"/>
      <c r="O124" s="345"/>
      <c r="P124" s="351" t="s">
        <v>980</v>
      </c>
      <c r="Q124" s="332">
        <f t="shared" si="14"/>
        <v>0</v>
      </c>
      <c r="R124" s="332">
        <f t="shared" si="15"/>
        <v>0</v>
      </c>
    </row>
    <row r="125" spans="1:41" ht="18">
      <c r="A125" s="293" t="s">
        <v>873</v>
      </c>
      <c r="B125" s="294"/>
      <c r="C125" s="294"/>
      <c r="D125" s="294"/>
      <c r="E125" s="294"/>
      <c r="F125" s="294"/>
      <c r="G125" s="294"/>
      <c r="H125" s="294"/>
      <c r="I125" s="293" t="s">
        <v>874</v>
      </c>
      <c r="J125" s="295"/>
      <c r="K125" s="295"/>
      <c r="L125" s="294"/>
      <c r="M125" s="295"/>
      <c r="N125" s="295"/>
      <c r="O125" s="295"/>
      <c r="P125" s="295"/>
      <c r="Q125" s="332">
        <f t="shared" si="14"/>
        <v>0</v>
      </c>
      <c r="R125" s="332">
        <f t="shared" si="15"/>
        <v>0</v>
      </c>
    </row>
    <row r="126" spans="1:41">
      <c r="A126" s="299"/>
      <c r="B126" s="295"/>
      <c r="C126" s="295"/>
      <c r="D126" s="295"/>
      <c r="E126" s="295"/>
      <c r="F126" s="295"/>
      <c r="G126" s="295"/>
      <c r="H126" s="295"/>
      <c r="I126" s="299"/>
      <c r="J126" s="295"/>
      <c r="K126" s="295"/>
      <c r="L126" s="295"/>
      <c r="M126" s="295"/>
      <c r="N126" s="295"/>
      <c r="O126" s="295"/>
      <c r="P126" s="295"/>
      <c r="Q126" s="332">
        <f t="shared" si="14"/>
        <v>0</v>
      </c>
      <c r="R126" s="332">
        <f t="shared" si="15"/>
        <v>0</v>
      </c>
    </row>
    <row r="127" spans="1:41" ht="15.75">
      <c r="A127" s="301" t="s">
        <v>846</v>
      </c>
      <c r="B127" s="295"/>
      <c r="C127" s="295"/>
      <c r="D127" s="295"/>
      <c r="E127" s="295"/>
      <c r="F127" s="295"/>
      <c r="G127" s="295"/>
      <c r="H127" s="295"/>
      <c r="I127" s="301" t="s">
        <v>847</v>
      </c>
      <c r="J127" s="295"/>
      <c r="K127" s="295"/>
      <c r="L127" s="295"/>
      <c r="M127" s="295"/>
      <c r="N127" s="295"/>
      <c r="O127" s="295"/>
      <c r="P127" s="295"/>
      <c r="Q127" s="332">
        <f t="shared" si="14"/>
        <v>0</v>
      </c>
      <c r="R127" s="332">
        <f t="shared" si="15"/>
        <v>0</v>
      </c>
    </row>
    <row r="128" spans="1:41" ht="15.75">
      <c r="A128" s="301" t="s">
        <v>985</v>
      </c>
      <c r="B128" s="295"/>
      <c r="C128" s="295"/>
      <c r="D128" s="295"/>
      <c r="E128" s="295"/>
      <c r="F128" s="295"/>
      <c r="G128" s="295"/>
      <c r="H128" s="295"/>
      <c r="I128" s="301" t="s">
        <v>985</v>
      </c>
      <c r="J128" s="295"/>
      <c r="K128" s="295"/>
      <c r="L128" s="295"/>
      <c r="M128" s="295"/>
      <c r="N128" s="295"/>
      <c r="O128" s="295"/>
      <c r="P128" s="295"/>
      <c r="Q128" s="332">
        <f t="shared" si="14"/>
        <v>0</v>
      </c>
      <c r="R128" s="332">
        <f t="shared" si="15"/>
        <v>0</v>
      </c>
    </row>
    <row r="129" spans="1:41">
      <c r="A129" s="304"/>
      <c r="B129" s="305"/>
      <c r="C129" s="305"/>
      <c r="D129" s="305"/>
      <c r="E129" s="305"/>
      <c r="F129" s="305"/>
      <c r="G129" s="305"/>
      <c r="H129" s="305"/>
      <c r="I129" s="306"/>
      <c r="L129" s="307"/>
      <c r="P129" s="304"/>
      <c r="Q129" s="332">
        <f t="shared" si="14"/>
        <v>0</v>
      </c>
      <c r="R129" s="332">
        <f t="shared" si="15"/>
        <v>0</v>
      </c>
    </row>
    <row r="130" spans="1:41" s="325" customFormat="1">
      <c r="A130" s="309"/>
      <c r="B130" s="310" t="s">
        <v>848</v>
      </c>
      <c r="C130" s="310"/>
      <c r="D130" s="310"/>
      <c r="E130" s="310"/>
      <c r="F130" s="310"/>
      <c r="G130" s="310"/>
      <c r="H130" s="311"/>
      <c r="I130" s="309"/>
      <c r="J130" s="310" t="s">
        <v>848</v>
      </c>
      <c r="K130" s="310"/>
      <c r="L130" s="310"/>
      <c r="M130" s="310"/>
      <c r="N130" s="310"/>
      <c r="O130" s="310"/>
      <c r="P130" s="311"/>
      <c r="Q130" s="332">
        <f t="shared" si="14"/>
        <v>0</v>
      </c>
      <c r="R130" s="332">
        <f t="shared" si="15"/>
        <v>0</v>
      </c>
    </row>
    <row r="131" spans="1:41" s="325" customFormat="1">
      <c r="A131" s="309"/>
      <c r="B131" s="310" t="s">
        <v>849</v>
      </c>
      <c r="C131" s="310"/>
      <c r="D131" s="450" t="s">
        <v>850</v>
      </c>
      <c r="E131" s="448"/>
      <c r="F131" s="448"/>
      <c r="G131" s="448"/>
      <c r="H131" s="317" t="s">
        <v>740</v>
      </c>
      <c r="I131" s="309"/>
      <c r="J131" s="310" t="s">
        <v>849</v>
      </c>
      <c r="K131" s="310"/>
      <c r="L131" s="450" t="s">
        <v>850</v>
      </c>
      <c r="M131" s="448"/>
      <c r="N131" s="448"/>
      <c r="O131" s="448"/>
      <c r="P131" s="317" t="s">
        <v>740</v>
      </c>
      <c r="Q131" s="332">
        <f t="shared" si="14"/>
        <v>0</v>
      </c>
      <c r="R131" s="332">
        <f t="shared" si="15"/>
        <v>0</v>
      </c>
    </row>
    <row r="132" spans="1:41" s="325" customFormat="1" ht="40.5" customHeight="1">
      <c r="A132" s="309"/>
      <c r="B132" s="318" t="s">
        <v>851</v>
      </c>
      <c r="C132" s="319" t="s">
        <v>852</v>
      </c>
      <c r="D132" s="320" t="s">
        <v>853</v>
      </c>
      <c r="E132" s="321" t="s">
        <v>8</v>
      </c>
      <c r="F132" s="318" t="s">
        <v>854</v>
      </c>
      <c r="G132" s="322" t="s">
        <v>864</v>
      </c>
      <c r="H132" s="323" t="s">
        <v>856</v>
      </c>
      <c r="I132" s="309"/>
      <c r="J132" s="318" t="s">
        <v>851</v>
      </c>
      <c r="K132" s="319" t="s">
        <v>852</v>
      </c>
      <c r="L132" s="320" t="s">
        <v>853</v>
      </c>
      <c r="M132" s="321" t="s">
        <v>8</v>
      </c>
      <c r="N132" s="318" t="s">
        <v>854</v>
      </c>
      <c r="O132" s="322" t="s">
        <v>864</v>
      </c>
      <c r="P132" s="323" t="s">
        <v>856</v>
      </c>
      <c r="Q132" s="332">
        <f t="shared" si="14"/>
        <v>0</v>
      </c>
      <c r="R132" s="332">
        <f t="shared" si="15"/>
        <v>0</v>
      </c>
      <c r="T132" s="324"/>
    </row>
    <row r="133" spans="1:41" ht="15.75" customHeight="1">
      <c r="A133" s="353" t="s">
        <v>825</v>
      </c>
      <c r="B133" s="380">
        <f>('Pivot Table for Data Exchange'!$F$7)*100</f>
        <v>80.153729520279654</v>
      </c>
      <c r="C133" s="327">
        <f>('Pivot Table for Data Exchange'!$F$10)*100</f>
        <v>0.18700248494293054</v>
      </c>
      <c r="D133" s="328">
        <f>SUM(E133:G133)</f>
        <v>19.659267994777409</v>
      </c>
      <c r="E133" s="327">
        <f>('Pivot Table for Data Exchange'!$F$13)*100</f>
        <v>19.659267994777409</v>
      </c>
      <c r="F133" s="327">
        <f>('Pivot Table for Data Exchange'!$F$16)*100</f>
        <v>0</v>
      </c>
      <c r="G133" s="331">
        <f>('Pivot Table for Data Exchange'!$F$19)*100</f>
        <v>0</v>
      </c>
      <c r="H133" s="327">
        <f>('Pivot Table for Data Exchange'!$F$22)*100</f>
        <v>0</v>
      </c>
      <c r="I133" s="330" t="s">
        <v>825</v>
      </c>
      <c r="J133" s="327">
        <f>('Pivot Table for Data Exchange'!$F$25)*100</f>
        <v>62.74654618124945</v>
      </c>
      <c r="K133" s="327">
        <f>('Pivot Table for Data Exchange'!$F$28)*100</f>
        <v>0.19549917455904076</v>
      </c>
      <c r="L133" s="328">
        <f>SUM(M133:O133)</f>
        <v>37.057954644191504</v>
      </c>
      <c r="M133" s="327">
        <f>('Pivot Table for Data Exchange'!$F$31)*100</f>
        <v>37.057954644191504</v>
      </c>
      <c r="N133" s="327">
        <f>('Pivot Table for Data Exchange'!$F$34)*100</f>
        <v>0</v>
      </c>
      <c r="O133" s="331">
        <f>('Pivot Table for Data Exchange'!$F$37)*100</f>
        <v>0</v>
      </c>
      <c r="P133" s="327">
        <f>('Pivot Table for Data Exchange'!$F$40)*100</f>
        <v>0</v>
      </c>
      <c r="Q133" s="332">
        <f t="shared" si="14"/>
        <v>100</v>
      </c>
      <c r="R133" s="332">
        <f t="shared" si="15"/>
        <v>100</v>
      </c>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row>
    <row r="134" spans="1:41" ht="15.75" customHeight="1">
      <c r="A134" s="298" t="s">
        <v>826</v>
      </c>
      <c r="B134" s="327">
        <f>('Pivot Table for Data Exchange'!$F$43)*100</f>
        <v>78.059527722226235</v>
      </c>
      <c r="C134" s="327">
        <f>('Pivot Table for Data Exchange'!$F$46)*100</f>
        <v>2.1274225265022588</v>
      </c>
      <c r="D134" s="328">
        <f t="shared" ref="D134:D136" si="20">SUM(E134:G134)</f>
        <v>19.732275656916212</v>
      </c>
      <c r="E134" s="327">
        <f>('Pivot Table for Data Exchange'!$F$49)*100</f>
        <v>19.732275656916212</v>
      </c>
      <c r="F134" s="339">
        <f>('Pivot Table for Data Exchange'!$F$52)*100</f>
        <v>0</v>
      </c>
      <c r="G134" s="335">
        <f>('Pivot Table for Data Exchange'!$F$55)*100</f>
        <v>0</v>
      </c>
      <c r="H134" s="327">
        <f>('Pivot Table for Data Exchange'!$F$58)*100</f>
        <v>8.077409435528346E-2</v>
      </c>
      <c r="I134" s="333" t="s">
        <v>826</v>
      </c>
      <c r="J134" s="327">
        <f>('Pivot Table for Data Exchange'!$F$61)*100</f>
        <v>14.736222788782113</v>
      </c>
      <c r="K134" s="327">
        <f>('Pivot Table for Data Exchange'!$F$64)*100</f>
        <v>10.135320651108062</v>
      </c>
      <c r="L134" s="328">
        <f t="shared" ref="L134:L136" si="21">SUM(M134:O134)</f>
        <v>75.093155520690331</v>
      </c>
      <c r="M134" s="327">
        <f>('Pivot Table for Data Exchange'!$F$67)*100</f>
        <v>75.093155520690331</v>
      </c>
      <c r="N134" s="327">
        <f>('Pivot Table for Data Exchange'!$F$70)*100</f>
        <v>0</v>
      </c>
      <c r="O134" s="335">
        <f>('Pivot Table for Data Exchange'!$F$73)*100</f>
        <v>0</v>
      </c>
      <c r="P134" s="327">
        <f>('Pivot Table for Data Exchange'!$F$76)*100</f>
        <v>3.5301039419494022E-2</v>
      </c>
      <c r="Q134" s="332">
        <f t="shared" si="14"/>
        <v>99.999999999999986</v>
      </c>
      <c r="R134" s="332">
        <f t="shared" si="15"/>
        <v>100</v>
      </c>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row>
    <row r="135" spans="1:41" ht="15.75" customHeight="1">
      <c r="A135" s="298" t="s">
        <v>827</v>
      </c>
      <c r="B135" s="327">
        <f>('Pivot Table for Data Exchange'!$F$79)*100</f>
        <v>0</v>
      </c>
      <c r="C135" s="327">
        <f>('Pivot Table for Data Exchange'!$F$82)*100</f>
        <v>0</v>
      </c>
      <c r="D135" s="328">
        <f t="shared" si="20"/>
        <v>0</v>
      </c>
      <c r="E135" s="327">
        <f>('Pivot Table for Data Exchange'!$F$85)*100</f>
        <v>0</v>
      </c>
      <c r="F135" s="327">
        <f>('Pivot Table for Data Exchange'!$F$88)*100</f>
        <v>0</v>
      </c>
      <c r="G135" s="335">
        <f>('Pivot Table for Data Exchange'!$F$91)*100</f>
        <v>0</v>
      </c>
      <c r="H135" s="327">
        <f>('Pivot Table for Data Exchange'!$F$94)*100</f>
        <v>0</v>
      </c>
      <c r="I135" s="333" t="s">
        <v>827</v>
      </c>
      <c r="J135" s="327">
        <f>('Pivot Table for Data Exchange'!$F$97)*100</f>
        <v>0</v>
      </c>
      <c r="K135" s="327">
        <f>('Pivot Table for Data Exchange'!$F$100)*100</f>
        <v>0</v>
      </c>
      <c r="L135" s="328">
        <f t="shared" si="21"/>
        <v>0</v>
      </c>
      <c r="M135" s="327">
        <f>('Pivot Table for Data Exchange'!$F$103)*100</f>
        <v>0</v>
      </c>
      <c r="N135" s="327">
        <f>('Pivot Table for Data Exchange'!$F$106)*100</f>
        <v>0</v>
      </c>
      <c r="O135" s="335">
        <f>('Pivot Table for Data Exchange'!$F$109)*100</f>
        <v>0</v>
      </c>
      <c r="P135" s="327">
        <f>('Pivot Table for Data Exchange'!$F$112)*100</f>
        <v>0</v>
      </c>
      <c r="Q135" s="332">
        <f t="shared" si="14"/>
        <v>0</v>
      </c>
      <c r="R135" s="332">
        <f t="shared" si="15"/>
        <v>0</v>
      </c>
      <c r="S135" s="381"/>
      <c r="T135" s="385"/>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row>
    <row r="136" spans="1:41" ht="15.75" customHeight="1">
      <c r="A136" s="298" t="s">
        <v>865</v>
      </c>
      <c r="B136" s="327">
        <f>('Pivot Table for Data Exchange'!$F$115)*100</f>
        <v>0</v>
      </c>
      <c r="C136" s="327">
        <f>('Pivot Table for Data Exchange'!$F$118)*100</f>
        <v>0</v>
      </c>
      <c r="D136" s="328">
        <f t="shared" si="20"/>
        <v>0</v>
      </c>
      <c r="E136" s="327">
        <f>('Pivot Table for Data Exchange'!$F$121)*100</f>
        <v>0</v>
      </c>
      <c r="F136" s="336">
        <f>('Pivot Table for Data Exchange'!$F$124)*100</f>
        <v>0</v>
      </c>
      <c r="G136" s="338">
        <f>('Pivot Table for Data Exchange'!$F$127)*100</f>
        <v>0</v>
      </c>
      <c r="H136" s="327">
        <f>('Pivot Table for Data Exchange'!$F$130)*100</f>
        <v>0</v>
      </c>
      <c r="I136" s="333" t="s">
        <v>865</v>
      </c>
      <c r="J136" s="327">
        <f>('Pivot Table for Data Exchange'!$F$133)*100</f>
        <v>0</v>
      </c>
      <c r="K136" s="327">
        <f>('Pivot Table for Data Exchange'!$F$136)*100</f>
        <v>0</v>
      </c>
      <c r="L136" s="328">
        <f t="shared" si="21"/>
        <v>0</v>
      </c>
      <c r="M136" s="327">
        <f>('Pivot Table for Data Exchange'!$F$139)*100</f>
        <v>0</v>
      </c>
      <c r="N136" s="327">
        <f>('Pivot Table for Data Exchange'!$F$142)*100</f>
        <v>0</v>
      </c>
      <c r="O136" s="335">
        <f>('Pivot Table for Data Exchange'!$F$145)*100</f>
        <v>0</v>
      </c>
      <c r="P136" s="327">
        <f>('Pivot Table for Data Exchange'!$F$148)*100</f>
        <v>0</v>
      </c>
      <c r="Q136" s="332">
        <f t="shared" si="14"/>
        <v>0</v>
      </c>
      <c r="R136" s="332">
        <f t="shared" si="15"/>
        <v>0</v>
      </c>
      <c r="S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row>
    <row r="137" spans="1:41" ht="15.75" customHeight="1">
      <c r="B137" s="327"/>
      <c r="C137" s="327"/>
      <c r="D137" s="328"/>
      <c r="E137" s="327"/>
      <c r="F137" s="327"/>
      <c r="G137" s="335"/>
      <c r="H137" s="327"/>
      <c r="I137" s="333"/>
      <c r="J137" s="327"/>
      <c r="K137" s="327"/>
      <c r="L137" s="328"/>
      <c r="M137" s="327"/>
      <c r="N137" s="327"/>
      <c r="O137" s="335"/>
      <c r="P137" s="327"/>
      <c r="Q137" s="332">
        <f t="shared" si="14"/>
        <v>0</v>
      </c>
      <c r="R137" s="332">
        <f t="shared" si="15"/>
        <v>0</v>
      </c>
      <c r="S137" s="381"/>
      <c r="U137" s="381"/>
      <c r="V137" s="381"/>
      <c r="W137" s="381"/>
      <c r="X137" s="381"/>
      <c r="Y137" s="381"/>
      <c r="Z137" s="381"/>
      <c r="AA137" s="381"/>
      <c r="AB137" s="381"/>
      <c r="AC137" s="381"/>
      <c r="AD137" s="381"/>
      <c r="AE137" s="381"/>
      <c r="AF137" s="381"/>
      <c r="AG137" s="381"/>
      <c r="AH137" s="381"/>
      <c r="AI137" s="381"/>
      <c r="AJ137" s="381"/>
      <c r="AK137" s="381"/>
      <c r="AL137" s="381"/>
      <c r="AM137" s="381"/>
      <c r="AN137" s="381"/>
      <c r="AO137" s="381"/>
    </row>
    <row r="138" spans="1:41" ht="15.75" customHeight="1">
      <c r="A138" s="298" t="s">
        <v>829</v>
      </c>
      <c r="B138" s="327">
        <f>('Pivot Table for Data Exchange'!$F$151)*100</f>
        <v>79.196318884875595</v>
      </c>
      <c r="C138" s="327">
        <f>('Pivot Table for Data Exchange'!$F$154)*100</f>
        <v>1.680136757308941</v>
      </c>
      <c r="D138" s="328">
        <f t="shared" ref="D138:D139" si="22">SUM(E138:G138)</f>
        <v>19.123544357815469</v>
      </c>
      <c r="E138" s="327">
        <f>('Pivot Table for Data Exchange'!$F$157)*100</f>
        <v>19.022781823780459</v>
      </c>
      <c r="F138" s="339">
        <f>('Pivot Table for Data Exchange'!$F$160)*100</f>
        <v>8.5633881616153981E-3</v>
      </c>
      <c r="G138" s="335">
        <f>('Pivot Table for Data Exchange'!$F$163)*100</f>
        <v>9.2199145873392452E-2</v>
      </c>
      <c r="H138" s="336">
        <f>('Pivot Table for Data Exchange'!$F$166)*100</f>
        <v>0</v>
      </c>
      <c r="I138" s="333" t="s">
        <v>829</v>
      </c>
      <c r="J138" s="327">
        <f>('Pivot Table for Data Exchange'!$F$169)*100</f>
        <v>73.141198631851751</v>
      </c>
      <c r="K138" s="327">
        <f>('Pivot Table for Data Exchange'!$F$172)*100</f>
        <v>5.7802709707049829</v>
      </c>
      <c r="L138" s="328">
        <f t="shared" ref="L138:L139" si="23">SUM(M138:O138)</f>
        <v>21.07853039744327</v>
      </c>
      <c r="M138" s="327">
        <f>('Pivot Table for Data Exchange'!$F$175)*100</f>
        <v>21.057811342646549</v>
      </c>
      <c r="N138" s="336">
        <f>('Pivot Table for Data Exchange'!$F$178)*100</f>
        <v>0</v>
      </c>
      <c r="O138" s="335">
        <f>('Pivot Table for Data Exchange'!$F$181)*100</f>
        <v>2.0719054796720173E-2</v>
      </c>
      <c r="P138" s="327">
        <f>('Pivot Table for Data Exchange'!$F$184)*100</f>
        <v>0</v>
      </c>
      <c r="Q138" s="332">
        <f t="shared" si="14"/>
        <v>100</v>
      </c>
      <c r="R138" s="332">
        <f t="shared" si="15"/>
        <v>100</v>
      </c>
      <c r="S138" s="381"/>
      <c r="T138" s="381"/>
      <c r="U138" s="381"/>
      <c r="V138" s="381"/>
      <c r="W138" s="381"/>
      <c r="X138" s="381"/>
      <c r="Y138" s="381"/>
      <c r="Z138" s="381"/>
      <c r="AA138" s="381"/>
      <c r="AB138" s="381"/>
      <c r="AC138" s="381"/>
      <c r="AD138" s="381"/>
      <c r="AE138" s="381"/>
      <c r="AF138" s="381"/>
      <c r="AG138" s="381"/>
      <c r="AH138" s="381"/>
      <c r="AI138" s="381"/>
      <c r="AJ138" s="381"/>
      <c r="AK138" s="381"/>
      <c r="AL138" s="381"/>
      <c r="AM138" s="381"/>
      <c r="AN138" s="381"/>
      <c r="AO138" s="381"/>
    </row>
    <row r="139" spans="1:41" ht="15.75" customHeight="1">
      <c r="A139" s="298" t="s">
        <v>830</v>
      </c>
      <c r="B139" s="327">
        <f>('Pivot Table for Data Exchange'!$F$187)*100</f>
        <v>70.110794409709456</v>
      </c>
      <c r="C139" s="327">
        <f>('Pivot Table for Data Exchange'!$F$190)*100</f>
        <v>0</v>
      </c>
      <c r="D139" s="328">
        <f t="shared" si="22"/>
        <v>29.889205590290548</v>
      </c>
      <c r="E139" s="327">
        <f>('Pivot Table for Data Exchange'!$F$193)*100</f>
        <v>29.886906951084956</v>
      </c>
      <c r="F139" s="327">
        <f>('Pivot Table for Data Exchange'!$F$196)*100</f>
        <v>2.2986392055902908E-3</v>
      </c>
      <c r="G139" s="338">
        <f>('Pivot Table for Data Exchange'!$F$199)*100</f>
        <v>0</v>
      </c>
      <c r="H139" s="327">
        <f>('Pivot Table for Data Exchange'!$F$202)*100</f>
        <v>0</v>
      </c>
      <c r="I139" s="333" t="s">
        <v>830</v>
      </c>
      <c r="J139" s="327">
        <f>('Pivot Table for Data Exchange'!$F$205)*100</f>
        <v>79.310344827586206</v>
      </c>
      <c r="K139" s="327">
        <f>('Pivot Table for Data Exchange'!$F$208)*100</f>
        <v>0</v>
      </c>
      <c r="L139" s="328">
        <f t="shared" si="23"/>
        <v>20.689655172413794</v>
      </c>
      <c r="M139" s="327">
        <f>('Pivot Table for Data Exchange'!$F$211)*100</f>
        <v>20.689655172413794</v>
      </c>
      <c r="N139" s="327">
        <f>('Pivot Table for Data Exchange'!$F$214)*100</f>
        <v>0</v>
      </c>
      <c r="O139" s="335">
        <f>('Pivot Table for Data Exchange'!$F$217)*100</f>
        <v>0</v>
      </c>
      <c r="P139" s="327">
        <f>('Pivot Table for Data Exchange'!$F$220)*100</f>
        <v>0</v>
      </c>
      <c r="Q139" s="332">
        <f t="shared" si="14"/>
        <v>100</v>
      </c>
      <c r="R139" s="332">
        <f t="shared" si="15"/>
        <v>100</v>
      </c>
      <c r="S139" s="381"/>
      <c r="T139" s="381"/>
      <c r="U139" s="381"/>
      <c r="V139" s="381"/>
      <c r="W139" s="381"/>
      <c r="X139" s="381"/>
      <c r="Y139" s="381"/>
      <c r="Z139" s="381"/>
      <c r="AA139" s="381"/>
      <c r="AB139" s="381"/>
      <c r="AC139" s="381"/>
      <c r="AD139" s="381"/>
      <c r="AE139" s="381"/>
      <c r="AF139" s="381"/>
      <c r="AG139" s="381"/>
      <c r="AH139" s="381"/>
      <c r="AI139" s="381"/>
      <c r="AJ139" s="381"/>
      <c r="AK139" s="381"/>
      <c r="AL139" s="381"/>
      <c r="AM139" s="381"/>
      <c r="AN139" s="381"/>
      <c r="AO139" s="381"/>
    </row>
    <row r="140" spans="1:41" ht="15.75" customHeight="1">
      <c r="A140" s="298" t="s">
        <v>831</v>
      </c>
      <c r="B140" s="327">
        <f>('Pivot Table for Data Exchange'!$F$223)*100</f>
        <v>72.404022869385216</v>
      </c>
      <c r="C140" s="327">
        <f>('Pivot Table for Data Exchange'!$F$226)*100</f>
        <v>0</v>
      </c>
      <c r="D140" s="328">
        <f>SUM(E140:G140)</f>
        <v>27.595977130614802</v>
      </c>
      <c r="E140" s="327">
        <f>('Pivot Table for Data Exchange'!$F$229)*100</f>
        <v>27.595977130614802</v>
      </c>
      <c r="F140" s="327">
        <f>('Pivot Table for Data Exchange'!$F$232)*100</f>
        <v>0</v>
      </c>
      <c r="G140" s="335">
        <f>('Pivot Table for Data Exchange'!$F$235)*100</f>
        <v>0</v>
      </c>
      <c r="H140" s="327">
        <f>('Pivot Table for Data Exchange'!$F$238)*100</f>
        <v>0</v>
      </c>
      <c r="I140" s="333" t="s">
        <v>831</v>
      </c>
      <c r="J140" s="327">
        <f>('Pivot Table for Data Exchange'!$F$241)*100</f>
        <v>44.201611940657131</v>
      </c>
      <c r="K140" s="327">
        <f>('Pivot Table for Data Exchange'!$F$244)*100</f>
        <v>0</v>
      </c>
      <c r="L140" s="328">
        <f>SUM(M140:O140)</f>
        <v>55.798388059342876</v>
      </c>
      <c r="M140" s="327">
        <f>('Pivot Table for Data Exchange'!$F$247)*100</f>
        <v>55.798388059342876</v>
      </c>
      <c r="N140" s="327">
        <f>('Pivot Table for Data Exchange'!$F$250)*100</f>
        <v>0</v>
      </c>
      <c r="O140" s="335">
        <f>('Pivot Table for Data Exchange'!$F$253)*100</f>
        <v>0</v>
      </c>
      <c r="P140" s="327">
        <f>('Pivot Table for Data Exchange'!$F$256)*100</f>
        <v>0</v>
      </c>
      <c r="Q140" s="332">
        <f t="shared" si="14"/>
        <v>100.00000000000001</v>
      </c>
      <c r="R140" s="332">
        <f t="shared" si="15"/>
        <v>100</v>
      </c>
      <c r="S140" s="381"/>
      <c r="T140" s="385"/>
      <c r="U140" s="381"/>
      <c r="V140" s="381"/>
      <c r="W140" s="381"/>
      <c r="X140" s="381"/>
      <c r="Y140" s="381"/>
      <c r="Z140" s="381"/>
      <c r="AA140" s="381"/>
      <c r="AB140" s="381"/>
      <c r="AC140" s="381"/>
      <c r="AD140" s="381"/>
      <c r="AE140" s="381"/>
      <c r="AF140" s="381"/>
      <c r="AG140" s="381"/>
      <c r="AH140" s="381"/>
      <c r="AI140" s="381"/>
      <c r="AJ140" s="381"/>
      <c r="AK140" s="381"/>
      <c r="AL140" s="381"/>
      <c r="AM140" s="381"/>
      <c r="AN140" s="381"/>
      <c r="AO140" s="381"/>
    </row>
    <row r="141" spans="1:41" ht="15.75" customHeight="1">
      <c r="A141" s="298" t="s">
        <v>832</v>
      </c>
      <c r="B141" s="327">
        <f>('Pivot Table for Data Exchange'!$F$259)*100</f>
        <v>80.63464659998462</v>
      </c>
      <c r="C141" s="327">
        <f>('Pivot Table for Data Exchange'!$F$262)*100</f>
        <v>1.7123537197977681</v>
      </c>
      <c r="D141" s="328">
        <f>SUM(E141:G141)</f>
        <v>17.652999680217615</v>
      </c>
      <c r="E141" s="327">
        <f>('Pivot Table for Data Exchange'!$F$265)*100</f>
        <v>16.279352177556135</v>
      </c>
      <c r="F141" s="327">
        <f>('Pivot Table for Data Exchange'!$F$268)*100</f>
        <v>1.3736475026614801</v>
      </c>
      <c r="G141" s="335">
        <f>('Pivot Table for Data Exchange'!$F$271)*100</f>
        <v>0</v>
      </c>
      <c r="H141" s="327">
        <f>('Pivot Table for Data Exchange'!$F$274)*100</f>
        <v>0</v>
      </c>
      <c r="I141" s="333" t="s">
        <v>832</v>
      </c>
      <c r="J141" s="327">
        <f>('Pivot Table for Data Exchange'!$F$277)*100</f>
        <v>61.97385628650386</v>
      </c>
      <c r="K141" s="327">
        <f>('Pivot Table for Data Exchange'!$F$280)*100</f>
        <v>2.9741580812952324</v>
      </c>
      <c r="L141" s="328">
        <f>SUM(M141:O141)</f>
        <v>35.051985632200918</v>
      </c>
      <c r="M141" s="327">
        <f>('Pivot Table for Data Exchange'!$F$283)*100</f>
        <v>31.050541751238249</v>
      </c>
      <c r="N141" s="327">
        <f>('Pivot Table for Data Exchange'!$F$286)*100</f>
        <v>4.0014438809626665</v>
      </c>
      <c r="O141" s="335">
        <f>('Pivot Table for Data Exchange'!$F$289)*100</f>
        <v>0</v>
      </c>
      <c r="P141" s="327">
        <f>('Pivot Table for Data Exchange'!$F$292)*100</f>
        <v>0</v>
      </c>
      <c r="Q141" s="332">
        <f t="shared" si="14"/>
        <v>100</v>
      </c>
      <c r="R141" s="332">
        <f t="shared" si="15"/>
        <v>100</v>
      </c>
      <c r="S141" s="381"/>
      <c r="U141" s="381"/>
      <c r="V141" s="381"/>
      <c r="W141" s="381"/>
      <c r="X141" s="381"/>
      <c r="Y141" s="381"/>
      <c r="Z141" s="381"/>
      <c r="AA141" s="381"/>
      <c r="AB141" s="381"/>
      <c r="AC141" s="381"/>
      <c r="AD141" s="381"/>
      <c r="AE141" s="381"/>
      <c r="AF141" s="381"/>
      <c r="AG141" s="381"/>
      <c r="AH141" s="381"/>
      <c r="AI141" s="381"/>
      <c r="AJ141" s="381"/>
      <c r="AK141" s="381"/>
      <c r="AL141" s="381"/>
      <c r="AM141" s="381"/>
      <c r="AN141" s="381"/>
      <c r="AO141" s="381"/>
    </row>
    <row r="142" spans="1:41" ht="15.75" customHeight="1">
      <c r="B142" s="327"/>
      <c r="C142" s="327"/>
      <c r="D142" s="328"/>
      <c r="E142" s="327"/>
      <c r="F142" s="327"/>
      <c r="G142" s="335"/>
      <c r="H142" s="327"/>
      <c r="I142" s="333"/>
      <c r="J142" s="327"/>
      <c r="K142" s="327"/>
      <c r="L142" s="328"/>
      <c r="M142" s="327"/>
      <c r="N142" s="327"/>
      <c r="O142" s="335"/>
      <c r="P142" s="327"/>
      <c r="Q142" s="332">
        <f t="shared" si="14"/>
        <v>0</v>
      </c>
      <c r="R142" s="332">
        <f t="shared" si="15"/>
        <v>0</v>
      </c>
      <c r="S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row>
    <row r="143" spans="1:41" ht="15.75" customHeight="1">
      <c r="A143" s="298" t="s">
        <v>833</v>
      </c>
      <c r="B143" s="327">
        <f>('Pivot Table for Data Exchange'!$F$295)*100</f>
        <v>71.439544964061668</v>
      </c>
      <c r="C143" s="327">
        <f>('Pivot Table for Data Exchange'!$F$298)*100</f>
        <v>3.7383177570093453</v>
      </c>
      <c r="D143" s="328">
        <f>SUM(E143:G143)</f>
        <v>24.413373081917445</v>
      </c>
      <c r="E143" s="327">
        <f>('Pivot Table for Data Exchange'!$F$301)*100</f>
        <v>24.407886314172323</v>
      </c>
      <c r="F143" s="327">
        <f>('Pivot Table for Data Exchange'!$F$304)*100</f>
        <v>0</v>
      </c>
      <c r="G143" s="334">
        <f>('Pivot Table for Data Exchange'!$F$307)*100</f>
        <v>5.4867677451213492E-3</v>
      </c>
      <c r="H143" s="327">
        <f>('Pivot Table for Data Exchange'!$F$310)*100</f>
        <v>0.40876419701154049</v>
      </c>
      <c r="I143" s="333" t="s">
        <v>833</v>
      </c>
      <c r="J143" s="327">
        <f>('Pivot Table for Data Exchange'!$F$313)*100</f>
        <v>19.958373178826573</v>
      </c>
      <c r="K143" s="327">
        <f>('Pivot Table for Data Exchange'!$F$316)*100</f>
        <v>0.21938459807616584</v>
      </c>
      <c r="L143" s="328">
        <f>SUM(M143:O143)</f>
        <v>79.594419755864322</v>
      </c>
      <c r="M143" s="327">
        <f>('Pivot Table for Data Exchange'!$F$319)*100</f>
        <v>79.518478933453338</v>
      </c>
      <c r="N143" s="327">
        <f>('Pivot Table for Data Exchange'!$F$322)*100</f>
        <v>0</v>
      </c>
      <c r="O143" s="335">
        <f>('Pivot Table for Data Exchange'!$F$325)*100</f>
        <v>7.5940822410980477E-2</v>
      </c>
      <c r="P143" s="327">
        <f>('Pivot Table for Data Exchange'!$F$328)*100</f>
        <v>0.22782246723294144</v>
      </c>
      <c r="Q143" s="332">
        <f t="shared" si="14"/>
        <v>99.999999999999986</v>
      </c>
      <c r="R143" s="332">
        <f t="shared" si="15"/>
        <v>100</v>
      </c>
      <c r="S143" s="381"/>
      <c r="T143" s="381"/>
      <c r="U143" s="381"/>
      <c r="V143" s="381"/>
      <c r="W143" s="381"/>
      <c r="X143" s="381"/>
      <c r="Y143" s="381"/>
      <c r="Z143" s="381"/>
      <c r="AA143" s="381"/>
      <c r="AB143" s="381"/>
      <c r="AC143" s="381"/>
      <c r="AD143" s="381"/>
      <c r="AE143" s="381"/>
      <c r="AF143" s="381"/>
      <c r="AG143" s="381"/>
      <c r="AH143" s="381"/>
      <c r="AI143" s="381"/>
      <c r="AJ143" s="381"/>
      <c r="AK143" s="381"/>
      <c r="AL143" s="381"/>
      <c r="AM143" s="381"/>
      <c r="AN143" s="381"/>
      <c r="AO143" s="381"/>
    </row>
    <row r="144" spans="1:41" ht="15.75" customHeight="1">
      <c r="A144" s="298" t="s">
        <v>834</v>
      </c>
      <c r="B144" s="327">
        <f>('Pivot Table for Data Exchange'!$F$331)*100</f>
        <v>60.647028096992358</v>
      </c>
      <c r="C144" s="327">
        <f>('Pivot Table for Data Exchange'!$F$334)*100</f>
        <v>0.61582449002034423</v>
      </c>
      <c r="D144" s="328">
        <f>SUM(E144:G144)</f>
        <v>38.737147412987298</v>
      </c>
      <c r="E144" s="327">
        <f>('Pivot Table for Data Exchange'!$F$337)*100</f>
        <v>38.737147412987298</v>
      </c>
      <c r="F144" s="327">
        <f>('Pivot Table for Data Exchange'!$F$340)*100</f>
        <v>0</v>
      </c>
      <c r="G144" s="335">
        <f>('Pivot Table for Data Exchange'!$F$343)*100</f>
        <v>0</v>
      </c>
      <c r="H144" s="327">
        <f>('Pivot Table for Data Exchange'!$F$346)*100</f>
        <v>0</v>
      </c>
      <c r="I144" s="333" t="s">
        <v>834</v>
      </c>
      <c r="J144" s="327">
        <f>('Pivot Table for Data Exchange'!$F$349)*100</f>
        <v>34.397847979031596</v>
      </c>
      <c r="K144" s="327">
        <f>('Pivot Table for Data Exchange'!$F$352)*100</f>
        <v>1.2277555524899986</v>
      </c>
      <c r="L144" s="328">
        <f>SUM(M144:O144)</f>
        <v>64.374396468478409</v>
      </c>
      <c r="M144" s="327">
        <f>('Pivot Table for Data Exchange'!$F$355)*100</f>
        <v>64.374396468478409</v>
      </c>
      <c r="N144" s="327">
        <f>('Pivot Table for Data Exchange'!$F$358)*100</f>
        <v>0</v>
      </c>
      <c r="O144" s="335">
        <f>('Pivot Table for Data Exchange'!$F$361)*100</f>
        <v>0</v>
      </c>
      <c r="P144" s="327">
        <f>('Pivot Table for Data Exchange'!$F$364)*100</f>
        <v>0</v>
      </c>
      <c r="Q144" s="332">
        <f t="shared" si="14"/>
        <v>100</v>
      </c>
      <c r="R144" s="332">
        <f t="shared" si="15"/>
        <v>100</v>
      </c>
      <c r="S144" s="381"/>
      <c r="T144" s="381"/>
      <c r="U144" s="381"/>
      <c r="V144" s="381"/>
      <c r="W144" s="381"/>
      <c r="X144" s="381"/>
      <c r="Y144" s="381"/>
      <c r="Z144" s="381"/>
      <c r="AA144" s="381"/>
      <c r="AB144" s="381"/>
      <c r="AC144" s="381"/>
      <c r="AD144" s="381"/>
      <c r="AE144" s="381"/>
      <c r="AF144" s="381"/>
      <c r="AG144" s="381"/>
      <c r="AH144" s="381"/>
      <c r="AI144" s="381"/>
      <c r="AJ144" s="381"/>
      <c r="AK144" s="381"/>
      <c r="AL144" s="381"/>
      <c r="AM144" s="381"/>
      <c r="AN144" s="381"/>
      <c r="AO144" s="381"/>
    </row>
    <row r="145" spans="1:41" ht="15.75" customHeight="1">
      <c r="A145" s="298" t="s">
        <v>835</v>
      </c>
      <c r="B145" s="327">
        <f>('Pivot Table for Data Exchange'!$F$367)*100</f>
        <v>66.235951738933608</v>
      </c>
      <c r="C145" s="327">
        <f>('Pivot Table for Data Exchange'!$F$370)*100</f>
        <v>1.0185604345857853</v>
      </c>
      <c r="D145" s="328">
        <f>SUM(E145:G145)</f>
        <v>32.745487826480598</v>
      </c>
      <c r="E145" s="327">
        <f>('Pivot Table for Data Exchange'!$F$373)*100</f>
        <v>31.570452890349753</v>
      </c>
      <c r="F145" s="327">
        <f>('Pivot Table for Data Exchange'!$F$376)*100</f>
        <v>0.69577026787647367</v>
      </c>
      <c r="G145" s="335">
        <f>('Pivot Table for Data Exchange'!$F$379)*100</f>
        <v>0.47926466825437442</v>
      </c>
      <c r="H145" s="327">
        <f>('Pivot Table for Data Exchange'!$F$382)*100</f>
        <v>0</v>
      </c>
      <c r="I145" s="333" t="s">
        <v>835</v>
      </c>
      <c r="J145" s="327">
        <f>('Pivot Table for Data Exchange'!$F$385)*100</f>
        <v>43.809799942012177</v>
      </c>
      <c r="K145" s="327">
        <f>('Pivot Table for Data Exchange'!$F$388)*100</f>
        <v>4.6535227602203539</v>
      </c>
      <c r="L145" s="328">
        <f>SUM(M145:O145)</f>
        <v>134.56557456267518</v>
      </c>
      <c r="M145" s="327">
        <f>('Pivot Table for Data Exchange'!$F$391)*100</f>
        <v>134.55107760703586</v>
      </c>
      <c r="N145" s="327">
        <f>('Pivot Table for Data Exchange'!$F$394)*100</f>
        <v>1.4496955639315743E-2</v>
      </c>
      <c r="O145" s="335">
        <f>('Pivot Table for Data Exchange'!$F$397)*100</f>
        <v>0</v>
      </c>
      <c r="P145" s="327">
        <f>('Pivot Table for Data Exchange'!$F$400)*100</f>
        <v>0</v>
      </c>
      <c r="Q145" s="332">
        <f t="shared" si="14"/>
        <v>99.999999999999986</v>
      </c>
      <c r="R145" s="332">
        <f t="shared" si="15"/>
        <v>183.0288972649077</v>
      </c>
      <c r="S145" s="381"/>
      <c r="T145" s="385"/>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row>
    <row r="146" spans="1:41" ht="15.75" customHeight="1">
      <c r="A146" s="298" t="s">
        <v>836</v>
      </c>
      <c r="B146" s="327">
        <f>('Pivot Table for Data Exchange'!$F$403)*100</f>
        <v>81.780675114442133</v>
      </c>
      <c r="C146" s="327">
        <f>('Pivot Table for Data Exchange'!$F$406)*100</f>
        <v>0.86623366396296775</v>
      </c>
      <c r="D146" s="328">
        <f>SUM(E146:G146)</f>
        <v>17.353091221594894</v>
      </c>
      <c r="E146" s="327">
        <f>('Pivot Table for Data Exchange'!$F$409)*100</f>
        <v>17.353091221594894</v>
      </c>
      <c r="F146" s="327">
        <f>('Pivot Table for Data Exchange'!$F$412)*100</f>
        <v>0</v>
      </c>
      <c r="G146" s="335">
        <f>('Pivot Table for Data Exchange'!$F$415)*100</f>
        <v>0</v>
      </c>
      <c r="H146" s="327">
        <f>('Pivot Table for Data Exchange'!$F$418)*100</f>
        <v>0</v>
      </c>
      <c r="I146" s="333" t="s">
        <v>836</v>
      </c>
      <c r="J146" s="327">
        <f>('Pivot Table for Data Exchange'!$F$421)*100</f>
        <v>36.617142857142859</v>
      </c>
      <c r="K146" s="327">
        <f>('Pivot Table for Data Exchange'!$F$424)*100</f>
        <v>9.5542857142857134</v>
      </c>
      <c r="L146" s="328">
        <f>SUM(M146:O146)</f>
        <v>53.828571428571422</v>
      </c>
      <c r="M146" s="327">
        <f>('Pivot Table for Data Exchange'!$F$427)*100</f>
        <v>53.828571428571422</v>
      </c>
      <c r="N146" s="327">
        <f>('Pivot Table for Data Exchange'!$F$430)*100</f>
        <v>0</v>
      </c>
      <c r="O146" s="335">
        <f>('Pivot Table for Data Exchange'!$F$433)*100</f>
        <v>0</v>
      </c>
      <c r="P146" s="327">
        <f>('Pivot Table for Data Exchange'!$F$436)*100</f>
        <v>0</v>
      </c>
      <c r="Q146" s="332">
        <f t="shared" si="14"/>
        <v>100</v>
      </c>
      <c r="R146" s="332">
        <f t="shared" si="15"/>
        <v>100</v>
      </c>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row>
    <row r="147" spans="1:41" ht="15.75" customHeight="1">
      <c r="B147" s="327"/>
      <c r="C147" s="327"/>
      <c r="D147" s="328"/>
      <c r="E147" s="327"/>
      <c r="F147" s="327"/>
      <c r="G147" s="335"/>
      <c r="H147" s="327"/>
      <c r="I147" s="333"/>
      <c r="J147" s="327"/>
      <c r="K147" s="327"/>
      <c r="L147" s="328"/>
      <c r="M147" s="327"/>
      <c r="N147" s="327"/>
      <c r="O147" s="335"/>
      <c r="P147" s="327"/>
      <c r="Q147" s="332">
        <f t="shared" si="14"/>
        <v>0</v>
      </c>
      <c r="R147" s="332">
        <f t="shared" si="15"/>
        <v>0</v>
      </c>
      <c r="S147" s="381"/>
      <c r="T147" s="381"/>
      <c r="U147" s="381"/>
      <c r="V147" s="381"/>
      <c r="W147" s="381"/>
      <c r="X147" s="381"/>
      <c r="Y147" s="381"/>
      <c r="Z147" s="381"/>
      <c r="AA147" s="381"/>
      <c r="AB147" s="381"/>
      <c r="AC147" s="381"/>
      <c r="AD147" s="381"/>
      <c r="AE147" s="381"/>
      <c r="AF147" s="381"/>
      <c r="AG147" s="381"/>
      <c r="AH147" s="381"/>
      <c r="AI147" s="381"/>
      <c r="AJ147" s="381"/>
      <c r="AK147" s="381"/>
      <c r="AL147" s="381"/>
      <c r="AM147" s="381"/>
      <c r="AN147" s="381"/>
      <c r="AO147" s="381"/>
    </row>
    <row r="148" spans="1:41" ht="15.75" customHeight="1">
      <c r="A148" s="298" t="s">
        <v>837</v>
      </c>
      <c r="B148" s="327">
        <f>('Pivot Table for Data Exchange'!$F$439)*100</f>
        <v>0</v>
      </c>
      <c r="C148" s="327">
        <f>('Pivot Table for Data Exchange'!$F$442)*100</f>
        <v>0</v>
      </c>
      <c r="D148" s="328">
        <f>SUM(E148:G148)</f>
        <v>0</v>
      </c>
      <c r="E148" s="327">
        <f>('Pivot Table for Data Exchange'!$F$445)*100</f>
        <v>0</v>
      </c>
      <c r="F148" s="327">
        <f>('Pivot Table for Data Exchange'!$F$448)*100</f>
        <v>0</v>
      </c>
      <c r="G148" s="335">
        <f>('Pivot Table for Data Exchange'!$F$451)*100</f>
        <v>0</v>
      </c>
      <c r="H148" s="327">
        <f>('Pivot Table for Data Exchange'!$F$454)*100</f>
        <v>0</v>
      </c>
      <c r="I148" s="333" t="s">
        <v>837</v>
      </c>
      <c r="J148" s="327">
        <f>('Pivot Table for Data Exchange'!$F$457)*100</f>
        <v>0</v>
      </c>
      <c r="K148" s="327">
        <f>('Pivot Table for Data Exchange'!$F$460)*100</f>
        <v>0</v>
      </c>
      <c r="L148" s="328">
        <f>SUM(M148:O148)</f>
        <v>0</v>
      </c>
      <c r="M148" s="327">
        <f>('Pivot Table for Data Exchange'!$F$463)*100</f>
        <v>0</v>
      </c>
      <c r="N148" s="327">
        <f>('Pivot Table for Data Exchange'!$F$466)*100</f>
        <v>0</v>
      </c>
      <c r="O148" s="335">
        <f>('Pivot Table for Data Exchange'!$F$469)*100</f>
        <v>0</v>
      </c>
      <c r="P148" s="327">
        <f>('Pivot Table for Data Exchange'!$F$472)*100</f>
        <v>0</v>
      </c>
      <c r="Q148" s="332">
        <f t="shared" si="14"/>
        <v>0</v>
      </c>
      <c r="R148" s="332">
        <f t="shared" si="15"/>
        <v>0</v>
      </c>
      <c r="S148" s="381"/>
      <c r="T148" s="381"/>
      <c r="U148" s="381"/>
      <c r="V148" s="381"/>
      <c r="W148" s="381"/>
      <c r="X148" s="381"/>
      <c r="Y148" s="381"/>
      <c r="Z148" s="381"/>
      <c r="AA148" s="381"/>
      <c r="AB148" s="381"/>
      <c r="AC148" s="381"/>
      <c r="AD148" s="381"/>
      <c r="AE148" s="381"/>
      <c r="AF148" s="381"/>
      <c r="AG148" s="381"/>
      <c r="AH148" s="381"/>
      <c r="AI148" s="381"/>
      <c r="AJ148" s="381"/>
      <c r="AK148" s="381"/>
      <c r="AL148" s="381"/>
      <c r="AM148" s="381"/>
      <c r="AN148" s="381"/>
      <c r="AO148" s="381"/>
    </row>
    <row r="149" spans="1:41" ht="15.75" customHeight="1">
      <c r="A149" s="298" t="s">
        <v>838</v>
      </c>
      <c r="B149" s="327">
        <f>('Pivot Table for Data Exchange'!$F$475)*100</f>
        <v>41.891493197836418</v>
      </c>
      <c r="C149" s="327">
        <f>('Pivot Table for Data Exchange'!$F$478)*100</f>
        <v>4.0314702507785602</v>
      </c>
      <c r="D149" s="328">
        <f>SUM(E149:G149)</f>
        <v>54.077036551385021</v>
      </c>
      <c r="E149" s="327">
        <f>('Pivot Table for Data Exchange'!$F$481)*100</f>
        <v>51.974430421242424</v>
      </c>
      <c r="F149" s="327">
        <f>('Pivot Table for Data Exchange'!$F$484)*100</f>
        <v>2.1026061301425996</v>
      </c>
      <c r="G149" s="335">
        <f>('Pivot Table for Data Exchange'!$F$487)*100</f>
        <v>0</v>
      </c>
      <c r="H149" s="327">
        <f>('Pivot Table for Data Exchange'!$F$490)*100</f>
        <v>0</v>
      </c>
      <c r="I149" s="333" t="s">
        <v>838</v>
      </c>
      <c r="J149" s="327">
        <f>('Pivot Table for Data Exchange'!$F$493)*100</f>
        <v>17.068727227038572</v>
      </c>
      <c r="K149" s="327">
        <f>('Pivot Table for Data Exchange'!$F$496)*100</f>
        <v>5.2581982661138333</v>
      </c>
      <c r="L149" s="328">
        <f>SUM(M149:O149)</f>
        <v>77.673074506847598</v>
      </c>
      <c r="M149" s="327">
        <f>('Pivot Table for Data Exchange'!$F$499)*100</f>
        <v>74.054529463500444</v>
      </c>
      <c r="N149" s="327">
        <f>('Pivot Table for Data Exchange'!$F$502)*100</f>
        <v>3.6185450433471544</v>
      </c>
      <c r="O149" s="335">
        <f>('Pivot Table for Data Exchange'!$F$505)*100</f>
        <v>0</v>
      </c>
      <c r="P149" s="327">
        <f>('Pivot Table for Data Exchange'!$F$508)*100</f>
        <v>0</v>
      </c>
      <c r="Q149" s="332">
        <f t="shared" si="14"/>
        <v>100</v>
      </c>
      <c r="R149" s="332">
        <f t="shared" si="15"/>
        <v>100</v>
      </c>
      <c r="S149" s="381"/>
      <c r="T149" s="381"/>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row>
    <row r="150" spans="1:41" ht="15.75" customHeight="1">
      <c r="A150" s="298" t="s">
        <v>839</v>
      </c>
      <c r="B150" s="327">
        <f>('Pivot Table for Data Exchange'!$F$511)*100</f>
        <v>0</v>
      </c>
      <c r="C150" s="327">
        <f>('Pivot Table for Data Exchange'!$F$514)*100</f>
        <v>0</v>
      </c>
      <c r="D150" s="328">
        <f>SUM(E150:G150)</f>
        <v>0</v>
      </c>
      <c r="E150" s="327">
        <f>('Pivot Table for Data Exchange'!$F$517)*100</f>
        <v>0</v>
      </c>
      <c r="F150" s="327">
        <f>('Pivot Table for Data Exchange'!$F$520)*100</f>
        <v>0</v>
      </c>
      <c r="G150" s="335">
        <f>('Pivot Table for Data Exchange'!$F$523)*100</f>
        <v>0</v>
      </c>
      <c r="H150" s="327">
        <f>('Pivot Table for Data Exchange'!$F$526)*100</f>
        <v>0</v>
      </c>
      <c r="I150" s="333" t="s">
        <v>839</v>
      </c>
      <c r="J150" s="327">
        <f>('Pivot Table for Data Exchange'!$F$529)*100</f>
        <v>0</v>
      </c>
      <c r="K150" s="327">
        <f>('Pivot Table for Data Exchange'!$F$532)*100</f>
        <v>0</v>
      </c>
      <c r="L150" s="328">
        <f>SUM(M150:O150)</f>
        <v>0</v>
      </c>
      <c r="M150" s="327">
        <f>('Pivot Table for Data Exchange'!$F$535)*100</f>
        <v>0</v>
      </c>
      <c r="N150" s="327">
        <f>('Pivot Table for Data Exchange'!$F$538)*100</f>
        <v>0</v>
      </c>
      <c r="O150" s="335">
        <f>('Pivot Table for Data Exchange'!$F$541)*100</f>
        <v>0</v>
      </c>
      <c r="P150" s="327">
        <f>('Pivot Table for Data Exchange'!$F$544)*100</f>
        <v>0</v>
      </c>
      <c r="Q150" s="332">
        <f t="shared" si="14"/>
        <v>0</v>
      </c>
      <c r="R150" s="332">
        <f t="shared" si="15"/>
        <v>0</v>
      </c>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row>
    <row r="151" spans="1:41" ht="15.75" customHeight="1">
      <c r="A151" s="304" t="s">
        <v>840</v>
      </c>
      <c r="B151" s="340">
        <f>('Pivot Table for Data Exchange'!$F$547)*100</f>
        <v>0</v>
      </c>
      <c r="C151" s="340">
        <f>('Pivot Table for Data Exchange'!$F$550)*100</f>
        <v>0</v>
      </c>
      <c r="D151" s="341">
        <f>SUM(E151:G151)</f>
        <v>0</v>
      </c>
      <c r="E151" s="340">
        <f>('Pivot Table for Data Exchange'!$F$553)*100</f>
        <v>0</v>
      </c>
      <c r="F151" s="340">
        <f>('Pivot Table for Data Exchange'!$F$556)*100</f>
        <v>0</v>
      </c>
      <c r="G151" s="342">
        <f>('Pivot Table for Data Exchange'!$F$559)*100</f>
        <v>0</v>
      </c>
      <c r="H151" s="340">
        <f>('Pivot Table for Data Exchange'!$F$562)*100</f>
        <v>0</v>
      </c>
      <c r="I151" s="343" t="s">
        <v>840</v>
      </c>
      <c r="J151" s="340">
        <f>('Pivot Table for Data Exchange'!$F$565)*100</f>
        <v>0</v>
      </c>
      <c r="K151" s="340">
        <f>('Pivot Table for Data Exchange'!$F$568)*100</f>
        <v>0</v>
      </c>
      <c r="L151" s="341">
        <f>SUM(M151:O151)</f>
        <v>0</v>
      </c>
      <c r="M151" s="340">
        <f>('Pivot Table for Data Exchange'!$F$571)*100</f>
        <v>0</v>
      </c>
      <c r="N151" s="340">
        <f>('Pivot Table for Data Exchange'!$F$574)*100</f>
        <v>0</v>
      </c>
      <c r="O151" s="342">
        <f>('Pivot Table for Data Exchange'!$F$577)*100</f>
        <v>0</v>
      </c>
      <c r="P151" s="340">
        <f>('Pivot Table for Data Exchange'!$F$580)*100</f>
        <v>0</v>
      </c>
      <c r="Q151" s="332">
        <f t="shared" si="14"/>
        <v>0</v>
      </c>
      <c r="R151" s="332">
        <f t="shared" si="15"/>
        <v>0</v>
      </c>
      <c r="S151" s="381"/>
      <c r="T151" s="381"/>
      <c r="U151" s="381"/>
      <c r="V151" s="381"/>
      <c r="W151" s="381"/>
      <c r="X151" s="381"/>
      <c r="Y151" s="381"/>
      <c r="Z151" s="381"/>
      <c r="AA151" s="381"/>
      <c r="AB151" s="381"/>
      <c r="AC151" s="381"/>
      <c r="AD151" s="381"/>
      <c r="AE151" s="381"/>
      <c r="AF151" s="381"/>
      <c r="AG151" s="381"/>
      <c r="AH151" s="381"/>
      <c r="AI151" s="381"/>
      <c r="AJ151" s="381"/>
      <c r="AK151" s="381"/>
      <c r="AL151" s="381"/>
      <c r="AM151" s="381"/>
      <c r="AN151" s="381"/>
      <c r="AO151" s="381"/>
    </row>
    <row r="152" spans="1:41" s="371" customFormat="1" ht="12.75" customHeight="1">
      <c r="A152" s="346" t="s">
        <v>866</v>
      </c>
      <c r="B152" s="347"/>
      <c r="C152" s="347"/>
      <c r="D152" s="348"/>
      <c r="E152" s="347"/>
      <c r="F152" s="348"/>
      <c r="G152" s="348"/>
      <c r="H152" s="347"/>
      <c r="I152" s="346" t="s">
        <v>866</v>
      </c>
      <c r="J152" s="347"/>
      <c r="K152" s="347"/>
      <c r="L152" s="348"/>
      <c r="M152" s="347"/>
      <c r="N152" s="348"/>
      <c r="O152" s="348"/>
      <c r="P152" s="347"/>
      <c r="Q152" s="332">
        <f t="shared" si="14"/>
        <v>0</v>
      </c>
      <c r="R152" s="332">
        <f t="shared" si="15"/>
        <v>0</v>
      </c>
      <c r="S152" s="384"/>
      <c r="T152" s="384"/>
      <c r="U152" s="384"/>
      <c r="V152" s="384"/>
      <c r="W152" s="384"/>
      <c r="X152" s="384"/>
      <c r="Y152" s="384"/>
      <c r="Z152" s="384"/>
      <c r="AA152" s="384"/>
      <c r="AB152" s="384"/>
      <c r="AC152" s="384"/>
      <c r="AD152" s="384"/>
      <c r="AE152" s="384"/>
      <c r="AF152" s="384"/>
      <c r="AG152" s="384"/>
      <c r="AH152" s="384"/>
      <c r="AI152" s="384"/>
      <c r="AJ152" s="384"/>
      <c r="AK152" s="384"/>
      <c r="AL152" s="384"/>
      <c r="AM152" s="384"/>
      <c r="AN152" s="384"/>
      <c r="AO152" s="384"/>
    </row>
    <row r="153" spans="1:41" s="371" customFormat="1" ht="24" customHeight="1">
      <c r="A153" s="455" t="s">
        <v>872</v>
      </c>
      <c r="B153" s="456"/>
      <c r="C153" s="456"/>
      <c r="D153" s="456"/>
      <c r="E153" s="456"/>
      <c r="F153" s="456"/>
      <c r="G153" s="456"/>
      <c r="H153" s="456"/>
      <c r="I153" s="455" t="s">
        <v>872</v>
      </c>
      <c r="J153" s="456"/>
      <c r="K153" s="456"/>
      <c r="L153" s="456"/>
      <c r="M153" s="456"/>
      <c r="N153" s="456"/>
      <c r="O153" s="456"/>
      <c r="P153" s="456"/>
      <c r="Q153" s="332">
        <f t="shared" si="14"/>
        <v>0</v>
      </c>
      <c r="R153" s="332">
        <f t="shared" si="15"/>
        <v>0</v>
      </c>
      <c r="S153" s="384"/>
      <c r="T153" s="384"/>
      <c r="U153" s="384"/>
      <c r="V153" s="384"/>
      <c r="W153" s="384"/>
      <c r="X153" s="384"/>
      <c r="Y153" s="384"/>
      <c r="Z153" s="384"/>
      <c r="AA153" s="384"/>
      <c r="AB153" s="384"/>
      <c r="AC153" s="384"/>
      <c r="AD153" s="384"/>
      <c r="AE153" s="384"/>
      <c r="AF153" s="384"/>
      <c r="AG153" s="384"/>
      <c r="AH153" s="384"/>
      <c r="AI153" s="384"/>
      <c r="AJ153" s="384"/>
      <c r="AK153" s="384"/>
      <c r="AL153" s="384"/>
      <c r="AM153" s="384"/>
      <c r="AN153" s="384"/>
      <c r="AO153" s="384"/>
    </row>
    <row r="154" spans="1:41" s="371" customFormat="1" ht="9.75" customHeight="1">
      <c r="A154" s="350"/>
      <c r="B154" s="359"/>
      <c r="C154" s="359"/>
      <c r="D154" s="359"/>
      <c r="E154" s="359"/>
      <c r="F154" s="359"/>
      <c r="G154" s="359"/>
      <c r="H154" s="359"/>
      <c r="I154" s="350"/>
      <c r="J154" s="359"/>
      <c r="K154" s="359"/>
      <c r="L154" s="359"/>
      <c r="M154" s="359"/>
      <c r="N154" s="359"/>
      <c r="O154" s="359"/>
      <c r="P154" s="359"/>
      <c r="Q154" s="332"/>
      <c r="R154" s="332"/>
      <c r="S154" s="384"/>
      <c r="T154" s="384"/>
      <c r="U154" s="384"/>
      <c r="V154" s="384"/>
      <c r="W154" s="384"/>
      <c r="X154" s="384"/>
      <c r="Y154" s="384"/>
      <c r="Z154" s="384"/>
      <c r="AA154" s="384"/>
      <c r="AB154" s="384"/>
      <c r="AC154" s="384"/>
      <c r="AD154" s="384"/>
      <c r="AE154" s="384"/>
      <c r="AF154" s="384"/>
      <c r="AG154" s="384"/>
      <c r="AH154" s="384"/>
      <c r="AI154" s="384"/>
      <c r="AJ154" s="384"/>
      <c r="AK154" s="384"/>
      <c r="AL154" s="384"/>
      <c r="AM154" s="384"/>
      <c r="AN154" s="384"/>
      <c r="AO154" s="384"/>
    </row>
    <row r="155" spans="1:41" s="371" customFormat="1" ht="13.5" customHeight="1">
      <c r="A155" s="356"/>
      <c r="B155" s="357"/>
      <c r="C155" s="345"/>
      <c r="D155" s="345"/>
      <c r="E155" s="345"/>
      <c r="F155" s="345"/>
      <c r="G155" s="345"/>
      <c r="H155" s="351" t="s">
        <v>980</v>
      </c>
      <c r="I155" s="356"/>
      <c r="J155" s="345"/>
      <c r="K155" s="345"/>
      <c r="L155" s="345"/>
      <c r="M155" s="345"/>
      <c r="N155" s="345"/>
      <c r="O155" s="345"/>
      <c r="P155" s="351" t="s">
        <v>980</v>
      </c>
      <c r="Q155" s="332">
        <f t="shared" ref="Q155:Q216" si="24">SUM(B155,C155,D155,H155)</f>
        <v>0</v>
      </c>
      <c r="R155" s="332">
        <f t="shared" ref="R155:R216" si="25">SUM(J155,K155,L155,P155)</f>
        <v>0</v>
      </c>
    </row>
    <row r="156" spans="1:41" ht="18">
      <c r="A156" s="293" t="s">
        <v>875</v>
      </c>
      <c r="B156" s="294"/>
      <c r="C156" s="294"/>
      <c r="D156" s="294"/>
      <c r="E156" s="294"/>
      <c r="F156" s="294"/>
      <c r="G156" s="294"/>
      <c r="H156" s="294"/>
      <c r="I156" s="293" t="s">
        <v>876</v>
      </c>
      <c r="J156" s="295"/>
      <c r="K156" s="295"/>
      <c r="L156" s="294"/>
      <c r="M156" s="295"/>
      <c r="N156" s="295"/>
      <c r="O156" s="295"/>
      <c r="P156" s="295"/>
      <c r="Q156" s="332">
        <f t="shared" si="24"/>
        <v>0</v>
      </c>
      <c r="R156" s="332">
        <f t="shared" si="25"/>
        <v>0</v>
      </c>
    </row>
    <row r="157" spans="1:41">
      <c r="A157" s="299"/>
      <c r="B157" s="295"/>
      <c r="C157" s="295"/>
      <c r="D157" s="295"/>
      <c r="E157" s="295"/>
      <c r="F157" s="295"/>
      <c r="G157" s="295"/>
      <c r="H157" s="295"/>
      <c r="I157" s="299"/>
      <c r="J157" s="295"/>
      <c r="K157" s="295"/>
      <c r="L157" s="295"/>
      <c r="M157" s="295"/>
      <c r="N157" s="295"/>
      <c r="O157" s="295"/>
      <c r="P157" s="295"/>
      <c r="Q157" s="332">
        <f t="shared" si="24"/>
        <v>0</v>
      </c>
      <c r="R157" s="332">
        <f t="shared" si="25"/>
        <v>0</v>
      </c>
    </row>
    <row r="158" spans="1:41" ht="15.75">
      <c r="A158" s="301" t="s">
        <v>846</v>
      </c>
      <c r="B158" s="295"/>
      <c r="C158" s="295"/>
      <c r="D158" s="295"/>
      <c r="E158" s="295"/>
      <c r="F158" s="295"/>
      <c r="G158" s="295"/>
      <c r="H158" s="295"/>
      <c r="I158" s="301" t="s">
        <v>847</v>
      </c>
      <c r="J158" s="295"/>
      <c r="K158" s="295"/>
      <c r="L158" s="295"/>
      <c r="M158" s="295"/>
      <c r="N158" s="295"/>
      <c r="O158" s="295"/>
      <c r="P158" s="295"/>
      <c r="Q158" s="332">
        <f t="shared" si="24"/>
        <v>0</v>
      </c>
      <c r="R158" s="332">
        <f t="shared" si="25"/>
        <v>0</v>
      </c>
    </row>
    <row r="159" spans="1:41" ht="15.75">
      <c r="A159" s="301" t="s">
        <v>986</v>
      </c>
      <c r="B159" s="295"/>
      <c r="C159" s="295"/>
      <c r="D159" s="295"/>
      <c r="E159" s="295"/>
      <c r="F159" s="295"/>
      <c r="G159" s="295"/>
      <c r="H159" s="295"/>
      <c r="I159" s="301" t="s">
        <v>986</v>
      </c>
      <c r="J159" s="295"/>
      <c r="K159" s="295"/>
      <c r="L159" s="295"/>
      <c r="M159" s="295"/>
      <c r="N159" s="295"/>
      <c r="O159" s="295"/>
      <c r="P159" s="295"/>
      <c r="Q159" s="332">
        <f t="shared" si="24"/>
        <v>0</v>
      </c>
      <c r="R159" s="332">
        <f t="shared" si="25"/>
        <v>0</v>
      </c>
    </row>
    <row r="160" spans="1:41">
      <c r="A160" s="304"/>
      <c r="B160" s="305"/>
      <c r="C160" s="305"/>
      <c r="D160" s="305"/>
      <c r="E160" s="305"/>
      <c r="F160" s="305"/>
      <c r="G160" s="305"/>
      <c r="H160" s="305"/>
      <c r="I160" s="306"/>
      <c r="L160" s="307"/>
      <c r="P160" s="304"/>
      <c r="Q160" s="332">
        <f t="shared" si="24"/>
        <v>0</v>
      </c>
      <c r="R160" s="332">
        <f t="shared" si="25"/>
        <v>0</v>
      </c>
    </row>
    <row r="161" spans="1:41" s="325" customFormat="1">
      <c r="A161" s="309"/>
      <c r="B161" s="310" t="s">
        <v>848</v>
      </c>
      <c r="C161" s="310"/>
      <c r="D161" s="310"/>
      <c r="E161" s="310"/>
      <c r="F161" s="310"/>
      <c r="G161" s="310"/>
      <c r="H161" s="311"/>
      <c r="I161" s="309"/>
      <c r="J161" s="310" t="s">
        <v>848</v>
      </c>
      <c r="K161" s="310"/>
      <c r="L161" s="310"/>
      <c r="M161" s="310"/>
      <c r="N161" s="310"/>
      <c r="O161" s="310"/>
      <c r="P161" s="311"/>
      <c r="Q161" s="332">
        <f t="shared" si="24"/>
        <v>0</v>
      </c>
      <c r="R161" s="332">
        <f t="shared" si="25"/>
        <v>0</v>
      </c>
    </row>
    <row r="162" spans="1:41" s="325" customFormat="1">
      <c r="A162" s="309"/>
      <c r="B162" s="310" t="s">
        <v>849</v>
      </c>
      <c r="C162" s="310"/>
      <c r="D162" s="450" t="s">
        <v>850</v>
      </c>
      <c r="E162" s="448"/>
      <c r="F162" s="448"/>
      <c r="G162" s="448"/>
      <c r="H162" s="317" t="s">
        <v>740</v>
      </c>
      <c r="I162" s="309"/>
      <c r="J162" s="310" t="s">
        <v>849</v>
      </c>
      <c r="K162" s="310"/>
      <c r="L162" s="450" t="s">
        <v>850</v>
      </c>
      <c r="M162" s="448"/>
      <c r="N162" s="448"/>
      <c r="O162" s="448"/>
      <c r="P162" s="317" t="s">
        <v>740</v>
      </c>
      <c r="Q162" s="332">
        <f t="shared" si="24"/>
        <v>0</v>
      </c>
      <c r="R162" s="332">
        <f t="shared" si="25"/>
        <v>0</v>
      </c>
    </row>
    <row r="163" spans="1:41" s="325" customFormat="1" ht="40.5" customHeight="1">
      <c r="A163" s="309"/>
      <c r="B163" s="318" t="s">
        <v>851</v>
      </c>
      <c r="C163" s="319" t="s">
        <v>852</v>
      </c>
      <c r="D163" s="320" t="s">
        <v>853</v>
      </c>
      <c r="E163" s="321" t="s">
        <v>8</v>
      </c>
      <c r="F163" s="318" t="s">
        <v>854</v>
      </c>
      <c r="G163" s="322" t="s">
        <v>864</v>
      </c>
      <c r="H163" s="323" t="s">
        <v>856</v>
      </c>
      <c r="I163" s="309"/>
      <c r="J163" s="318" t="s">
        <v>851</v>
      </c>
      <c r="K163" s="319" t="s">
        <v>852</v>
      </c>
      <c r="L163" s="320" t="s">
        <v>853</v>
      </c>
      <c r="M163" s="321" t="s">
        <v>8</v>
      </c>
      <c r="N163" s="318" t="s">
        <v>854</v>
      </c>
      <c r="O163" s="322" t="s">
        <v>864</v>
      </c>
      <c r="P163" s="323" t="s">
        <v>856</v>
      </c>
      <c r="Q163" s="332">
        <f t="shared" si="24"/>
        <v>0</v>
      </c>
      <c r="R163" s="332">
        <f t="shared" si="25"/>
        <v>0</v>
      </c>
      <c r="T163" s="324"/>
    </row>
    <row r="164" spans="1:41" ht="15.75" customHeight="1">
      <c r="A164" s="353" t="s">
        <v>825</v>
      </c>
      <c r="B164" s="380">
        <f>('Pivot Table for Data Exchange'!$G$7)*100</f>
        <v>85.087901882925578</v>
      </c>
      <c r="C164" s="327">
        <f>('Pivot Table for Data Exchange'!$G$10)*100</f>
        <v>0.29620853080568721</v>
      </c>
      <c r="D164" s="328">
        <f>SUM(E164:G164)</f>
        <v>14.615889586268732</v>
      </c>
      <c r="E164" s="327">
        <f>('Pivot Table for Data Exchange'!$G$13)*100</f>
        <v>14.615889586268732</v>
      </c>
      <c r="F164" s="327">
        <f>('Pivot Table for Data Exchange'!$G$16)*100</f>
        <v>0</v>
      </c>
      <c r="G164" s="331">
        <f>('Pivot Table for Data Exchange'!$G$19)*100</f>
        <v>0</v>
      </c>
      <c r="H164" s="327">
        <f>('Pivot Table for Data Exchange'!$G$22)*100</f>
        <v>0</v>
      </c>
      <c r="I164" s="330" t="s">
        <v>825</v>
      </c>
      <c r="J164" s="327">
        <f>('Pivot Table for Data Exchange'!$G$25)*100</f>
        <v>9.7507875509227961</v>
      </c>
      <c r="K164" s="327">
        <f>('Pivot Table for Data Exchange'!$G$28)*100</f>
        <v>1.0060859956128054</v>
      </c>
      <c r="L164" s="328">
        <f>SUM(M164:O164)</f>
        <v>89.243126453464399</v>
      </c>
      <c r="M164" s="327">
        <f>('Pivot Table for Data Exchange'!$G$31)*100</f>
        <v>89.243126453464399</v>
      </c>
      <c r="N164" s="327">
        <f>('Pivot Table for Data Exchange'!$G$34)*100</f>
        <v>0</v>
      </c>
      <c r="O164" s="331">
        <f>('Pivot Table for Data Exchange'!$G$37)*100</f>
        <v>0</v>
      </c>
      <c r="P164" s="327">
        <f>('Pivot Table for Data Exchange'!$G$40)*100</f>
        <v>0</v>
      </c>
      <c r="Q164" s="332">
        <f t="shared" si="24"/>
        <v>100</v>
      </c>
      <c r="R164" s="332">
        <f t="shared" si="25"/>
        <v>100</v>
      </c>
      <c r="S164" s="381"/>
      <c r="T164" s="381"/>
      <c r="U164" s="381"/>
      <c r="V164" s="381"/>
      <c r="W164" s="381"/>
      <c r="X164" s="381"/>
      <c r="Y164" s="381"/>
      <c r="Z164" s="381"/>
      <c r="AA164" s="381"/>
      <c r="AB164" s="381"/>
      <c r="AC164" s="381"/>
      <c r="AD164" s="381"/>
      <c r="AE164" s="381"/>
      <c r="AF164" s="381"/>
      <c r="AG164" s="381"/>
      <c r="AH164" s="381"/>
      <c r="AI164" s="381"/>
      <c r="AJ164" s="381"/>
      <c r="AK164" s="381"/>
      <c r="AL164" s="381"/>
      <c r="AM164" s="381"/>
      <c r="AN164" s="381"/>
      <c r="AO164" s="381"/>
    </row>
    <row r="165" spans="1:41" ht="15.75" customHeight="1">
      <c r="A165" s="298" t="s">
        <v>826</v>
      </c>
      <c r="B165" s="327">
        <f>('Pivot Table for Data Exchange'!$G$43)*100</f>
        <v>62.301204207103297</v>
      </c>
      <c r="C165" s="327">
        <f>('Pivot Table for Data Exchange'!$G$46)*100</f>
        <v>13.641329200751995</v>
      </c>
      <c r="D165" s="328">
        <f t="shared" ref="D165:D167" si="26">SUM(E165:G165)</f>
        <v>23.295310197652558</v>
      </c>
      <c r="E165" s="327">
        <f>('Pivot Table for Data Exchange'!$G$49)*100</f>
        <v>23.291499415680097</v>
      </c>
      <c r="F165" s="327">
        <f>('Pivot Table for Data Exchange'!$G$52)*100</f>
        <v>3.8107819724607487E-3</v>
      </c>
      <c r="G165" s="335">
        <f>('Pivot Table for Data Exchange'!$G$55)*100</f>
        <v>0</v>
      </c>
      <c r="H165" s="327">
        <f>('Pivot Table for Data Exchange'!$G$58)*100</f>
        <v>0.76215639449214978</v>
      </c>
      <c r="I165" s="333" t="s">
        <v>826</v>
      </c>
      <c r="J165" s="327">
        <f>('Pivot Table for Data Exchange'!$G$61)*100</f>
        <v>16.352096208451645</v>
      </c>
      <c r="K165" s="327">
        <f>('Pivot Table for Data Exchange'!$G$64)*100</f>
        <v>0</v>
      </c>
      <c r="L165" s="328">
        <f t="shared" ref="L165:L167" si="27">SUM(M165:O165)</f>
        <v>83.647903791548345</v>
      </c>
      <c r="M165" s="327">
        <f>('Pivot Table for Data Exchange'!$G$67)*100</f>
        <v>83.647903791548345</v>
      </c>
      <c r="N165" s="327">
        <f>('Pivot Table for Data Exchange'!$G$70)*100</f>
        <v>0</v>
      </c>
      <c r="O165" s="335">
        <f>('Pivot Table for Data Exchange'!$G$73)*100</f>
        <v>0</v>
      </c>
      <c r="P165" s="327">
        <f>('Pivot Table for Data Exchange'!$G$76)*100</f>
        <v>0</v>
      </c>
      <c r="Q165" s="332">
        <f t="shared" si="24"/>
        <v>100</v>
      </c>
      <c r="R165" s="332">
        <f t="shared" si="25"/>
        <v>99.999999999999986</v>
      </c>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row>
    <row r="166" spans="1:41" ht="15.75" customHeight="1">
      <c r="A166" s="298" t="s">
        <v>827</v>
      </c>
      <c r="B166" s="327">
        <f>('Pivot Table for Data Exchange'!$G$79)*100</f>
        <v>0</v>
      </c>
      <c r="C166" s="327">
        <f>('Pivot Table for Data Exchange'!$G$82)*100</f>
        <v>0</v>
      </c>
      <c r="D166" s="328">
        <f t="shared" si="26"/>
        <v>0</v>
      </c>
      <c r="E166" s="327">
        <f>('Pivot Table for Data Exchange'!$G$85)*100</f>
        <v>0</v>
      </c>
      <c r="F166" s="327">
        <f>('Pivot Table for Data Exchange'!$G$88)*100</f>
        <v>0</v>
      </c>
      <c r="G166" s="335">
        <f>('Pivot Table for Data Exchange'!$G$91)*100</f>
        <v>0</v>
      </c>
      <c r="H166" s="327">
        <f>('Pivot Table for Data Exchange'!$G$94)*100</f>
        <v>0</v>
      </c>
      <c r="I166" s="333" t="s">
        <v>827</v>
      </c>
      <c r="J166" s="327">
        <f>('Pivot Table for Data Exchange'!$G$97)*100</f>
        <v>0</v>
      </c>
      <c r="K166" s="327">
        <f>('Pivot Table for Data Exchange'!$G$100)*100</f>
        <v>0</v>
      </c>
      <c r="L166" s="328">
        <f t="shared" si="27"/>
        <v>0</v>
      </c>
      <c r="M166" s="327">
        <f>('Pivot Table for Data Exchange'!$G$103)*100</f>
        <v>0</v>
      </c>
      <c r="N166" s="327">
        <f>('Pivot Table for Data Exchange'!$G$106)*100</f>
        <v>0</v>
      </c>
      <c r="O166" s="335">
        <f>('Pivot Table for Data Exchange'!$G$109)*100</f>
        <v>0</v>
      </c>
      <c r="P166" s="327">
        <f>('Pivot Table for Data Exchange'!$G$112)*100</f>
        <v>0</v>
      </c>
      <c r="Q166" s="332">
        <f t="shared" si="24"/>
        <v>0</v>
      </c>
      <c r="R166" s="332">
        <f t="shared" si="25"/>
        <v>0</v>
      </c>
      <c r="S166" s="381"/>
      <c r="T166" s="385"/>
      <c r="U166" s="381"/>
      <c r="V166" s="381"/>
      <c r="W166" s="381"/>
      <c r="X166" s="381"/>
      <c r="Y166" s="381"/>
      <c r="Z166" s="381"/>
      <c r="AA166" s="381"/>
      <c r="AB166" s="381"/>
      <c r="AC166" s="381"/>
      <c r="AD166" s="381"/>
      <c r="AE166" s="381"/>
      <c r="AF166" s="381"/>
      <c r="AG166" s="381"/>
      <c r="AH166" s="381"/>
      <c r="AI166" s="381"/>
      <c r="AJ166" s="381"/>
      <c r="AK166" s="381"/>
      <c r="AL166" s="381"/>
      <c r="AM166" s="381"/>
      <c r="AN166" s="381"/>
      <c r="AO166" s="381"/>
    </row>
    <row r="167" spans="1:41" ht="15.75" customHeight="1">
      <c r="A167" s="298" t="s">
        <v>828</v>
      </c>
      <c r="B167" s="327">
        <f>('Pivot Table for Data Exchange'!$G$115)*100</f>
        <v>0</v>
      </c>
      <c r="C167" s="327">
        <f>('Pivot Table for Data Exchange'!$G$118)*100</f>
        <v>0</v>
      </c>
      <c r="D167" s="328">
        <f t="shared" si="26"/>
        <v>0</v>
      </c>
      <c r="E167" s="327">
        <f>('Pivot Table for Data Exchange'!$G$121)*100</f>
        <v>0</v>
      </c>
      <c r="F167" s="327">
        <f>('Pivot Table for Data Exchange'!$G$124)*100</f>
        <v>0</v>
      </c>
      <c r="G167" s="335">
        <f>('Pivot Table for Data Exchange'!$G$127)*100</f>
        <v>0</v>
      </c>
      <c r="H167" s="327">
        <f>('Pivot Table for Data Exchange'!$G$130)*100</f>
        <v>0</v>
      </c>
      <c r="I167" s="333" t="s">
        <v>828</v>
      </c>
      <c r="J167" s="327">
        <f>('Pivot Table for Data Exchange'!$G$133)*100</f>
        <v>0</v>
      </c>
      <c r="K167" s="327">
        <f>('Pivot Table for Data Exchange'!$G$136)*100</f>
        <v>0</v>
      </c>
      <c r="L167" s="328">
        <f t="shared" si="27"/>
        <v>0</v>
      </c>
      <c r="M167" s="327">
        <f>('Pivot Table for Data Exchange'!$G$139)*100</f>
        <v>0</v>
      </c>
      <c r="N167" s="327">
        <f>('Pivot Table for Data Exchange'!$G$142)*100</f>
        <v>0</v>
      </c>
      <c r="O167" s="335">
        <f>('Pivot Table for Data Exchange'!$G$145)*100</f>
        <v>0</v>
      </c>
      <c r="P167" s="327">
        <f>('Pivot Table for Data Exchange'!$G$148)*100</f>
        <v>0</v>
      </c>
      <c r="Q167" s="332">
        <f t="shared" si="24"/>
        <v>0</v>
      </c>
      <c r="R167" s="332">
        <f t="shared" si="25"/>
        <v>0</v>
      </c>
      <c r="S167" s="381"/>
      <c r="U167" s="381"/>
      <c r="V167" s="381"/>
      <c r="W167" s="381"/>
      <c r="X167" s="381"/>
      <c r="Y167" s="381"/>
      <c r="Z167" s="381"/>
      <c r="AA167" s="381"/>
      <c r="AB167" s="381"/>
      <c r="AC167" s="381"/>
      <c r="AD167" s="381"/>
      <c r="AE167" s="381"/>
      <c r="AF167" s="381"/>
      <c r="AG167" s="381"/>
      <c r="AH167" s="381"/>
      <c r="AI167" s="381"/>
      <c r="AJ167" s="381"/>
      <c r="AK167" s="381"/>
      <c r="AL167" s="381"/>
      <c r="AM167" s="381"/>
      <c r="AN167" s="381"/>
      <c r="AO167" s="381"/>
    </row>
    <row r="168" spans="1:41" ht="10.5" customHeight="1">
      <c r="B168" s="327"/>
      <c r="C168" s="327"/>
      <c r="D168" s="328"/>
      <c r="E168" s="327"/>
      <c r="F168" s="327"/>
      <c r="G168" s="335"/>
      <c r="H168" s="327"/>
      <c r="I168" s="333"/>
      <c r="J168" s="327"/>
      <c r="K168" s="327"/>
      <c r="L168" s="328"/>
      <c r="M168" s="327"/>
      <c r="N168" s="327"/>
      <c r="O168" s="335"/>
      <c r="P168" s="327"/>
      <c r="Q168" s="332">
        <f t="shared" si="24"/>
        <v>0</v>
      </c>
      <c r="R168" s="332">
        <f t="shared" si="25"/>
        <v>0</v>
      </c>
      <c r="S168" s="381"/>
      <c r="U168" s="381"/>
      <c r="V168" s="381"/>
      <c r="W168" s="381"/>
      <c r="X168" s="381"/>
      <c r="Y168" s="381"/>
      <c r="Z168" s="381"/>
      <c r="AA168" s="381"/>
      <c r="AB168" s="381"/>
      <c r="AC168" s="381"/>
      <c r="AD168" s="381"/>
      <c r="AE168" s="381"/>
      <c r="AF168" s="381"/>
      <c r="AG168" s="381"/>
      <c r="AH168" s="381"/>
      <c r="AI168" s="381"/>
      <c r="AJ168" s="381"/>
      <c r="AK168" s="381"/>
      <c r="AL168" s="381"/>
      <c r="AM168" s="381"/>
      <c r="AN168" s="381"/>
      <c r="AO168" s="381"/>
    </row>
    <row r="169" spans="1:41" ht="15.75" customHeight="1">
      <c r="A169" s="298" t="s">
        <v>829</v>
      </c>
      <c r="B169" s="327">
        <f>('Pivot Table for Data Exchange'!$G$151)*100</f>
        <v>85.305159922699062</v>
      </c>
      <c r="C169" s="327">
        <f>('Pivot Table for Data Exchange'!$G$154)*100</f>
        <v>0.23241361109455744</v>
      </c>
      <c r="D169" s="328">
        <f t="shared" ref="D169:D170" si="28">SUM(E169:G169)</f>
        <v>14.462426466206379</v>
      </c>
      <c r="E169" s="327">
        <f>('Pivot Table for Data Exchange'!$G$157)*100</f>
        <v>14.462426466206379</v>
      </c>
      <c r="F169" s="339">
        <f>('Pivot Table for Data Exchange'!$G$160)*100</f>
        <v>0</v>
      </c>
      <c r="G169" s="334">
        <f>('Pivot Table for Data Exchange'!$G$163)*100</f>
        <v>0</v>
      </c>
      <c r="H169" s="327">
        <f>('Pivot Table for Data Exchange'!$G$166)*100</f>
        <v>0</v>
      </c>
      <c r="I169" s="333" t="s">
        <v>829</v>
      </c>
      <c r="J169" s="327">
        <f>('Pivot Table for Data Exchange'!$G$169)*100</f>
        <v>42.233529726834497</v>
      </c>
      <c r="K169" s="327">
        <f>('Pivot Table for Data Exchange'!$G$172)*100</f>
        <v>35.350830208891267</v>
      </c>
      <c r="L169" s="328">
        <f t="shared" ref="L169:L170" si="29">SUM(M169:O169)</f>
        <v>22.415640064274235</v>
      </c>
      <c r="M169" s="327">
        <f>('Pivot Table for Data Exchange'!$G$175)*100</f>
        <v>22.415640064274235</v>
      </c>
      <c r="N169" s="327">
        <f>('Pivot Table for Data Exchange'!$G$178)*100</f>
        <v>0</v>
      </c>
      <c r="O169" s="335">
        <f>('Pivot Table for Data Exchange'!$G$181)*100</f>
        <v>0</v>
      </c>
      <c r="P169" s="327">
        <f>('Pivot Table for Data Exchange'!$G$184)*100</f>
        <v>0</v>
      </c>
      <c r="Q169" s="332">
        <f t="shared" si="24"/>
        <v>100</v>
      </c>
      <c r="R169" s="332">
        <f t="shared" si="25"/>
        <v>100</v>
      </c>
      <c r="S169" s="381"/>
      <c r="T169" s="381"/>
      <c r="U169" s="381"/>
      <c r="V169" s="381"/>
      <c r="W169" s="381"/>
      <c r="X169" s="381"/>
      <c r="Y169" s="381"/>
      <c r="Z169" s="381"/>
      <c r="AA169" s="381"/>
      <c r="AB169" s="381"/>
      <c r="AC169" s="381"/>
      <c r="AD169" s="381"/>
      <c r="AE169" s="381"/>
      <c r="AF169" s="381"/>
      <c r="AG169" s="381"/>
      <c r="AH169" s="381"/>
      <c r="AI169" s="381"/>
      <c r="AJ169" s="381"/>
      <c r="AK169" s="381"/>
      <c r="AL169" s="381"/>
      <c r="AM169" s="381"/>
      <c r="AN169" s="381"/>
      <c r="AO169" s="381"/>
    </row>
    <row r="170" spans="1:41" ht="15.75" customHeight="1">
      <c r="A170" s="298" t="s">
        <v>830</v>
      </c>
      <c r="B170" s="327">
        <f>('Pivot Table for Data Exchange'!$G$187)*100</f>
        <v>0</v>
      </c>
      <c r="C170" s="327">
        <f>('Pivot Table for Data Exchange'!$G$190)*100</f>
        <v>0</v>
      </c>
      <c r="D170" s="328">
        <f t="shared" si="28"/>
        <v>0</v>
      </c>
      <c r="E170" s="327">
        <f>('Pivot Table for Data Exchange'!$G$193)*100</f>
        <v>0</v>
      </c>
      <c r="F170" s="327">
        <f>('Pivot Table for Data Exchange'!$G$196)*100</f>
        <v>0</v>
      </c>
      <c r="G170" s="335">
        <f>('Pivot Table for Data Exchange'!$G$199)*100</f>
        <v>0</v>
      </c>
      <c r="H170" s="327">
        <f>('Pivot Table for Data Exchange'!$G$202)*100</f>
        <v>0</v>
      </c>
      <c r="I170" s="333" t="s">
        <v>830</v>
      </c>
      <c r="J170" s="327">
        <f>('Pivot Table for Data Exchange'!$G$205)*100</f>
        <v>0</v>
      </c>
      <c r="K170" s="327">
        <f>('Pivot Table for Data Exchange'!$G$208)*100</f>
        <v>0</v>
      </c>
      <c r="L170" s="328">
        <f t="shared" si="29"/>
        <v>0</v>
      </c>
      <c r="M170" s="327">
        <f>('Pivot Table for Data Exchange'!$G$211)*100</f>
        <v>0</v>
      </c>
      <c r="N170" s="327">
        <f>('Pivot Table for Data Exchange'!$G$214)*100</f>
        <v>0</v>
      </c>
      <c r="O170" s="335">
        <f>('Pivot Table for Data Exchange'!$G$217)*100</f>
        <v>0</v>
      </c>
      <c r="P170" s="327">
        <f>('Pivot Table for Data Exchange'!$G$220)*100</f>
        <v>0</v>
      </c>
      <c r="Q170" s="332">
        <f t="shared" si="24"/>
        <v>0</v>
      </c>
      <c r="R170" s="332">
        <f t="shared" si="25"/>
        <v>0</v>
      </c>
      <c r="S170" s="381"/>
      <c r="T170" s="381"/>
      <c r="U170" s="381"/>
      <c r="V170" s="381"/>
      <c r="W170" s="381"/>
      <c r="X170" s="381"/>
      <c r="Y170" s="381"/>
      <c r="Z170" s="381"/>
      <c r="AA170" s="381"/>
      <c r="AB170" s="381"/>
      <c r="AC170" s="381"/>
      <c r="AD170" s="381"/>
      <c r="AE170" s="381"/>
      <c r="AF170" s="381"/>
      <c r="AG170" s="381"/>
      <c r="AH170" s="381"/>
      <c r="AI170" s="381"/>
      <c r="AJ170" s="381"/>
      <c r="AK170" s="381"/>
      <c r="AL170" s="381"/>
      <c r="AM170" s="381"/>
      <c r="AN170" s="381"/>
      <c r="AO170" s="381"/>
    </row>
    <row r="171" spans="1:41" ht="15.75" customHeight="1">
      <c r="A171" s="298" t="s">
        <v>831</v>
      </c>
      <c r="B171" s="327">
        <f>('Pivot Table for Data Exchange'!$G$223)*100</f>
        <v>85.860655737704903</v>
      </c>
      <c r="C171" s="327">
        <f>('Pivot Table for Data Exchange'!$G$226)*100</f>
        <v>0</v>
      </c>
      <c r="D171" s="328">
        <f>SUM(E171:G171)</f>
        <v>14.139344262295086</v>
      </c>
      <c r="E171" s="327">
        <f>('Pivot Table for Data Exchange'!$G$229)*100</f>
        <v>14.139344262295086</v>
      </c>
      <c r="F171" s="327">
        <f>('Pivot Table for Data Exchange'!$G$232)*100</f>
        <v>0</v>
      </c>
      <c r="G171" s="335">
        <f>('Pivot Table for Data Exchange'!$G$235)*100</f>
        <v>0</v>
      </c>
      <c r="H171" s="327">
        <f>('Pivot Table for Data Exchange'!$G$238)*100</f>
        <v>0</v>
      </c>
      <c r="I171" s="333" t="s">
        <v>831</v>
      </c>
      <c r="J171" s="327">
        <f>('Pivot Table for Data Exchange'!$G$241)*100</f>
        <v>86.637931034482719</v>
      </c>
      <c r="K171" s="327">
        <f>('Pivot Table for Data Exchange'!$G$244)*100</f>
        <v>0</v>
      </c>
      <c r="L171" s="328">
        <f>SUM(M171:O171)</f>
        <v>13.362068965517288</v>
      </c>
      <c r="M171" s="327">
        <f>('Pivot Table for Data Exchange'!$G$247)*100</f>
        <v>13.362068965517288</v>
      </c>
      <c r="N171" s="327">
        <f>('Pivot Table for Data Exchange'!$G$250)*100</f>
        <v>0</v>
      </c>
      <c r="O171" s="335">
        <f>('Pivot Table for Data Exchange'!$G$253)*100</f>
        <v>0</v>
      </c>
      <c r="P171" s="327">
        <f>('Pivot Table for Data Exchange'!$G$256)*100</f>
        <v>0</v>
      </c>
      <c r="Q171" s="332">
        <f t="shared" si="24"/>
        <v>99.999999999999986</v>
      </c>
      <c r="R171" s="332">
        <f t="shared" si="25"/>
        <v>100</v>
      </c>
      <c r="S171" s="381"/>
      <c r="T171" s="385"/>
      <c r="U171" s="381"/>
      <c r="V171" s="381"/>
      <c r="W171" s="381"/>
      <c r="X171" s="381"/>
      <c r="Y171" s="381"/>
      <c r="Z171" s="381"/>
      <c r="AA171" s="381"/>
      <c r="AB171" s="381"/>
      <c r="AC171" s="381"/>
      <c r="AD171" s="381"/>
      <c r="AE171" s="381"/>
      <c r="AF171" s="381"/>
      <c r="AG171" s="381"/>
      <c r="AH171" s="381"/>
      <c r="AI171" s="381"/>
      <c r="AJ171" s="381"/>
      <c r="AK171" s="381"/>
      <c r="AL171" s="381"/>
      <c r="AM171" s="381"/>
      <c r="AN171" s="381"/>
      <c r="AO171" s="381"/>
    </row>
    <row r="172" spans="1:41" ht="15.75" customHeight="1">
      <c r="A172" s="298" t="s">
        <v>832</v>
      </c>
      <c r="B172" s="327">
        <f>('Pivot Table for Data Exchange'!$G$259)*100</f>
        <v>78.742607145750625</v>
      </c>
      <c r="C172" s="327">
        <f>('Pivot Table for Data Exchange'!$G$262)*100</f>
        <v>7.2915822733533184E-2</v>
      </c>
      <c r="D172" s="328">
        <f>SUM(E172:G172)</f>
        <v>21.18447703151584</v>
      </c>
      <c r="E172" s="327">
        <f>('Pivot Table for Data Exchange'!$G$265)*100</f>
        <v>21.18447703151584</v>
      </c>
      <c r="F172" s="327">
        <f>('Pivot Table for Data Exchange'!$G$268)*100</f>
        <v>0</v>
      </c>
      <c r="G172" s="335">
        <f>('Pivot Table for Data Exchange'!$G$271)*100</f>
        <v>0</v>
      </c>
      <c r="H172" s="327">
        <f>('Pivot Table for Data Exchange'!$G$274)*100</f>
        <v>0</v>
      </c>
      <c r="I172" s="333" t="s">
        <v>832</v>
      </c>
      <c r="J172" s="327">
        <f>('Pivot Table for Data Exchange'!$G$277)*100</f>
        <v>82.50336473755047</v>
      </c>
      <c r="K172" s="327">
        <f>('Pivot Table for Data Exchange'!$G$280)*100</f>
        <v>4.4991347817727361</v>
      </c>
      <c r="L172" s="328">
        <f>SUM(M172:O172)</f>
        <v>12.997500480676793</v>
      </c>
      <c r="M172" s="327">
        <f>('Pivot Table for Data Exchange'!$G$283)*100</f>
        <v>12.997500480676793</v>
      </c>
      <c r="N172" s="327">
        <f>('Pivot Table for Data Exchange'!$G$286)*100</f>
        <v>0</v>
      </c>
      <c r="O172" s="335">
        <f>('Pivot Table for Data Exchange'!$G$289)*100</f>
        <v>0</v>
      </c>
      <c r="P172" s="327">
        <f>('Pivot Table for Data Exchange'!$G$292)*100</f>
        <v>0</v>
      </c>
      <c r="Q172" s="332">
        <f t="shared" si="24"/>
        <v>100</v>
      </c>
      <c r="R172" s="332">
        <f t="shared" si="25"/>
        <v>100</v>
      </c>
      <c r="S172" s="381"/>
      <c r="U172" s="381"/>
      <c r="V172" s="381"/>
      <c r="W172" s="381"/>
      <c r="X172" s="381"/>
      <c r="Y172" s="381"/>
      <c r="Z172" s="381"/>
      <c r="AA172" s="381"/>
      <c r="AB172" s="381"/>
      <c r="AC172" s="381"/>
      <c r="AD172" s="381"/>
      <c r="AE172" s="381"/>
      <c r="AF172" s="381"/>
      <c r="AG172" s="381"/>
      <c r="AH172" s="381"/>
      <c r="AI172" s="381"/>
      <c r="AJ172" s="381"/>
      <c r="AK172" s="381"/>
      <c r="AL172" s="381"/>
      <c r="AM172" s="381"/>
      <c r="AN172" s="381"/>
      <c r="AO172" s="381"/>
    </row>
    <row r="173" spans="1:41" ht="11.25" customHeight="1">
      <c r="B173" s="327"/>
      <c r="C173" s="327"/>
      <c r="D173" s="328"/>
      <c r="E173" s="327"/>
      <c r="F173" s="327"/>
      <c r="G173" s="335"/>
      <c r="H173" s="327"/>
      <c r="I173" s="333"/>
      <c r="J173" s="327"/>
      <c r="K173" s="327"/>
      <c r="L173" s="328"/>
      <c r="M173" s="327"/>
      <c r="N173" s="327"/>
      <c r="O173" s="335"/>
      <c r="P173" s="327"/>
      <c r="Q173" s="332">
        <f t="shared" si="24"/>
        <v>0</v>
      </c>
      <c r="R173" s="332">
        <f t="shared" si="25"/>
        <v>0</v>
      </c>
      <c r="S173" s="381"/>
      <c r="U173" s="381"/>
      <c r="V173" s="381"/>
      <c r="W173" s="381"/>
      <c r="X173" s="381"/>
      <c r="Y173" s="381"/>
      <c r="Z173" s="381"/>
      <c r="AA173" s="381"/>
      <c r="AB173" s="381"/>
      <c r="AC173" s="381"/>
      <c r="AD173" s="381"/>
      <c r="AE173" s="381"/>
      <c r="AF173" s="381"/>
      <c r="AG173" s="381"/>
      <c r="AH173" s="381"/>
      <c r="AI173" s="381"/>
      <c r="AJ173" s="381"/>
      <c r="AK173" s="381"/>
      <c r="AL173" s="381"/>
      <c r="AM173" s="381"/>
      <c r="AN173" s="381"/>
      <c r="AO173" s="381"/>
    </row>
    <row r="174" spans="1:41" ht="15.75" customHeight="1">
      <c r="A174" s="298" t="s">
        <v>833</v>
      </c>
      <c r="B174" s="327">
        <f>('Pivot Table for Data Exchange'!$G$295)*100</f>
        <v>47.272701459480949</v>
      </c>
      <c r="C174" s="327">
        <f>('Pivot Table for Data Exchange'!$G$298)*100</f>
        <v>0.23851439604747571</v>
      </c>
      <c r="D174" s="328">
        <f>SUM(E174:G174)</f>
        <v>52.48878414447158</v>
      </c>
      <c r="E174" s="327">
        <f>('Pivot Table for Data Exchange'!$G$301)*100</f>
        <v>52.48878414447158</v>
      </c>
      <c r="F174" s="327">
        <f>('Pivot Table for Data Exchange'!$G$304)*100</f>
        <v>0</v>
      </c>
      <c r="G174" s="335">
        <f>('Pivot Table for Data Exchange'!$G$307)*100</f>
        <v>0</v>
      </c>
      <c r="H174" s="327">
        <f>('Pivot Table for Data Exchange'!$G$310)*100</f>
        <v>0</v>
      </c>
      <c r="I174" s="333" t="s">
        <v>833</v>
      </c>
      <c r="J174" s="327">
        <f>('Pivot Table for Data Exchange'!$G$313)*100</f>
        <v>56.764168190127975</v>
      </c>
      <c r="K174" s="327">
        <f>('Pivot Table for Data Exchange'!$G$316)*100</f>
        <v>4.3875685557586834</v>
      </c>
      <c r="L174" s="328">
        <f>SUM(M174:O174)</f>
        <v>38.848263254113348</v>
      </c>
      <c r="M174" s="327">
        <f>('Pivot Table for Data Exchange'!$G$319)*100</f>
        <v>38.848263254113348</v>
      </c>
      <c r="N174" s="327">
        <f>('Pivot Table for Data Exchange'!$G$322)*100</f>
        <v>0</v>
      </c>
      <c r="O174" s="335">
        <f>('Pivot Table for Data Exchange'!$G$325)*100</f>
        <v>0</v>
      </c>
      <c r="P174" s="327">
        <f>('Pivot Table for Data Exchange'!$G$328)*100</f>
        <v>0</v>
      </c>
      <c r="Q174" s="332">
        <f t="shared" si="24"/>
        <v>100</v>
      </c>
      <c r="R174" s="332">
        <f t="shared" si="25"/>
        <v>100</v>
      </c>
      <c r="S174" s="381"/>
      <c r="T174" s="381"/>
      <c r="U174" s="381"/>
      <c r="V174" s="381"/>
      <c r="W174" s="381"/>
      <c r="X174" s="381"/>
      <c r="Y174" s="381"/>
      <c r="Z174" s="381"/>
      <c r="AA174" s="381"/>
      <c r="AB174" s="381"/>
      <c r="AC174" s="381"/>
      <c r="AD174" s="381"/>
      <c r="AE174" s="381"/>
      <c r="AF174" s="381"/>
      <c r="AG174" s="381"/>
      <c r="AH174" s="381"/>
      <c r="AI174" s="381"/>
      <c r="AJ174" s="381"/>
      <c r="AK174" s="381"/>
      <c r="AL174" s="381"/>
      <c r="AM174" s="381"/>
      <c r="AN174" s="381"/>
      <c r="AO174" s="381"/>
    </row>
    <row r="175" spans="1:41" ht="15.75" customHeight="1">
      <c r="A175" s="298" t="s">
        <v>834</v>
      </c>
      <c r="B175" s="327">
        <f>('Pivot Table for Data Exchange'!$G$331)*100</f>
        <v>73.727811055496289</v>
      </c>
      <c r="C175" s="327">
        <f>('Pivot Table for Data Exchange'!$G$334)*100</f>
        <v>0.36890402341292633</v>
      </c>
      <c r="D175" s="328">
        <f>SUM(E175:G175)</f>
        <v>25.90328492109078</v>
      </c>
      <c r="E175" s="327">
        <f>('Pivot Table for Data Exchange'!$G$337)*100</f>
        <v>22.066546319849021</v>
      </c>
      <c r="F175" s="327">
        <f>('Pivot Table for Data Exchange'!$G$340)*100</f>
        <v>0.10906430349279286</v>
      </c>
      <c r="G175" s="335">
        <f>('Pivot Table for Data Exchange'!$G$343)*100</f>
        <v>3.7276742977489672</v>
      </c>
      <c r="H175" s="327">
        <f>('Pivot Table for Data Exchange'!$G$346)*100</f>
        <v>0</v>
      </c>
      <c r="I175" s="333" t="s">
        <v>834</v>
      </c>
      <c r="J175" s="327">
        <f>('Pivot Table for Data Exchange'!$G$349)*100</f>
        <v>44.422868665745547</v>
      </c>
      <c r="K175" s="327">
        <f>('Pivot Table for Data Exchange'!$G$352)*100</f>
        <v>3.1703947122745433</v>
      </c>
      <c r="L175" s="328">
        <f>SUM(M175:O175)</f>
        <v>52.40673662197991</v>
      </c>
      <c r="M175" s="327">
        <f>('Pivot Table for Data Exchange'!$G$355)*100</f>
        <v>46.192912356697413</v>
      </c>
      <c r="N175" s="327">
        <f>('Pivot Table for Data Exchange'!$G$358)*100</f>
        <v>0</v>
      </c>
      <c r="O175" s="335">
        <f>('Pivot Table for Data Exchange'!$G$361)*100</f>
        <v>6.213824265282498</v>
      </c>
      <c r="P175" s="327">
        <f>('Pivot Table for Data Exchange'!$G$364)*100</f>
        <v>0</v>
      </c>
      <c r="Q175" s="332">
        <f t="shared" si="24"/>
        <v>100</v>
      </c>
      <c r="R175" s="332">
        <f t="shared" si="25"/>
        <v>100</v>
      </c>
      <c r="S175" s="381"/>
      <c r="T175" s="381"/>
      <c r="U175" s="381"/>
      <c r="V175" s="381"/>
      <c r="W175" s="381"/>
      <c r="X175" s="381"/>
      <c r="Y175" s="381"/>
      <c r="Z175" s="381"/>
      <c r="AA175" s="381"/>
      <c r="AB175" s="381"/>
      <c r="AC175" s="381"/>
      <c r="AD175" s="381"/>
      <c r="AE175" s="381"/>
      <c r="AF175" s="381"/>
      <c r="AG175" s="381"/>
      <c r="AH175" s="381"/>
      <c r="AI175" s="381"/>
      <c r="AJ175" s="381"/>
      <c r="AK175" s="381"/>
      <c r="AL175" s="381"/>
      <c r="AM175" s="381"/>
      <c r="AN175" s="381"/>
      <c r="AO175" s="381"/>
    </row>
    <row r="176" spans="1:41" ht="15.75" customHeight="1">
      <c r="A176" s="298" t="s">
        <v>835</v>
      </c>
      <c r="B176" s="327">
        <f>('Pivot Table for Data Exchange'!$G$367)*100</f>
        <v>73.380604310859027</v>
      </c>
      <c r="C176" s="327">
        <f>('Pivot Table for Data Exchange'!$G$370)*100</f>
        <v>1.0605969696221029</v>
      </c>
      <c r="D176" s="328">
        <f>SUM(E176:G176)</f>
        <v>25.558798719518872</v>
      </c>
      <c r="E176" s="327">
        <f>('Pivot Table for Data Exchange'!$G$373)*100</f>
        <v>18.781919380512548</v>
      </c>
      <c r="F176" s="327">
        <f>('Pivot Table for Data Exchange'!$G$376)*100</f>
        <v>5.6866350664064296</v>
      </c>
      <c r="G176" s="335">
        <f>('Pivot Table for Data Exchange'!$G$379)*100</f>
        <v>1.090244272599892</v>
      </c>
      <c r="H176" s="327">
        <f>('Pivot Table for Data Exchange'!$G$382)*100</f>
        <v>0</v>
      </c>
      <c r="I176" s="333" t="s">
        <v>835</v>
      </c>
      <c r="J176" s="327">
        <f>('Pivot Table for Data Exchange'!$G$385)*100</f>
        <v>49.659477866061295</v>
      </c>
      <c r="K176" s="327">
        <f>('Pivot Table for Data Exchange'!$G$388)*100</f>
        <v>0</v>
      </c>
      <c r="L176" s="328">
        <f>SUM(M176:O176)</f>
        <v>66.572077185017022</v>
      </c>
      <c r="M176" s="327">
        <f>('Pivot Table for Data Exchange'!$G$391)*100</f>
        <v>57.529322739311382</v>
      </c>
      <c r="N176" s="327">
        <f>('Pivot Table for Data Exchange'!$G$394)*100</f>
        <v>4.8571698827090426</v>
      </c>
      <c r="O176" s="335">
        <f>('Pivot Table for Data Exchange'!$G$397)*100</f>
        <v>4.1855845629965946</v>
      </c>
      <c r="P176" s="327">
        <f>('Pivot Table for Data Exchange'!$G$400)*100</f>
        <v>0</v>
      </c>
      <c r="Q176" s="332">
        <f t="shared" si="24"/>
        <v>100</v>
      </c>
      <c r="R176" s="332">
        <f t="shared" si="25"/>
        <v>116.23155505107832</v>
      </c>
      <c r="S176" s="381"/>
      <c r="T176" s="385"/>
      <c r="U176" s="381"/>
      <c r="V176" s="381"/>
      <c r="W176" s="381"/>
      <c r="X176" s="381"/>
      <c r="Y176" s="381"/>
      <c r="Z176" s="381"/>
      <c r="AA176" s="381"/>
      <c r="AB176" s="381"/>
      <c r="AC176" s="381"/>
      <c r="AD176" s="381"/>
      <c r="AE176" s="381"/>
      <c r="AF176" s="381"/>
      <c r="AG176" s="381"/>
      <c r="AH176" s="381"/>
      <c r="AI176" s="381"/>
      <c r="AJ176" s="381"/>
      <c r="AK176" s="381"/>
      <c r="AL176" s="381"/>
      <c r="AM176" s="381"/>
      <c r="AN176" s="381"/>
      <c r="AO176" s="381"/>
    </row>
    <row r="177" spans="1:41" ht="15.75" customHeight="1">
      <c r="A177" s="298" t="s">
        <v>836</v>
      </c>
      <c r="B177" s="327">
        <f>('Pivot Table for Data Exchange'!$G$403)*100</f>
        <v>91.335193559767788</v>
      </c>
      <c r="C177" s="327">
        <f>('Pivot Table for Data Exchange'!$G$406)*100</f>
        <v>0.49392219121844833</v>
      </c>
      <c r="D177" s="328">
        <f>SUM(E177:G177)</f>
        <v>8.1708842490137581</v>
      </c>
      <c r="E177" s="327">
        <f>('Pivot Table for Data Exchange'!$G$409)*100</f>
        <v>8.1708842490137581</v>
      </c>
      <c r="F177" s="327">
        <f>('Pivot Table for Data Exchange'!$G$412)*100</f>
        <v>0</v>
      </c>
      <c r="G177" s="335">
        <f>('Pivot Table for Data Exchange'!$G$415)*100</f>
        <v>0</v>
      </c>
      <c r="H177" s="327">
        <f>('Pivot Table for Data Exchange'!$G$418)*100</f>
        <v>0</v>
      </c>
      <c r="I177" s="333" t="s">
        <v>836</v>
      </c>
      <c r="J177" s="327">
        <f>('Pivot Table for Data Exchange'!$G$421)*100</f>
        <v>73.943488943488944</v>
      </c>
      <c r="K177" s="327">
        <f>('Pivot Table for Data Exchange'!$G$424)*100</f>
        <v>5.5773955773955777</v>
      </c>
      <c r="L177" s="328">
        <f>SUM(M177:O177)</f>
        <v>20.479115479115478</v>
      </c>
      <c r="M177" s="327">
        <f>('Pivot Table for Data Exchange'!$G$427)*100</f>
        <v>20.128992628992627</v>
      </c>
      <c r="N177" s="327">
        <f>('Pivot Table for Data Exchange'!$G$430)*100</f>
        <v>0.3501228501228501</v>
      </c>
      <c r="O177" s="335">
        <f>('Pivot Table for Data Exchange'!$G$433)*100</f>
        <v>0</v>
      </c>
      <c r="P177" s="327">
        <f>('Pivot Table for Data Exchange'!$G$436)*100</f>
        <v>0</v>
      </c>
      <c r="Q177" s="332">
        <f t="shared" si="24"/>
        <v>99.999999999999986</v>
      </c>
      <c r="R177" s="332">
        <f t="shared" si="25"/>
        <v>100</v>
      </c>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row>
    <row r="178" spans="1:41" ht="11.25" customHeight="1">
      <c r="B178" s="327"/>
      <c r="C178" s="327"/>
      <c r="D178" s="328"/>
      <c r="E178" s="327"/>
      <c r="F178" s="327"/>
      <c r="G178" s="335"/>
      <c r="H178" s="327"/>
      <c r="I178" s="333"/>
      <c r="J178" s="327"/>
      <c r="K178" s="327"/>
      <c r="L178" s="328"/>
      <c r="M178" s="327"/>
      <c r="N178" s="327"/>
      <c r="O178" s="335"/>
      <c r="P178" s="327"/>
      <c r="Q178" s="332">
        <f t="shared" si="24"/>
        <v>0</v>
      </c>
      <c r="R178" s="332">
        <f t="shared" si="25"/>
        <v>0</v>
      </c>
      <c r="S178" s="381"/>
      <c r="T178" s="381"/>
      <c r="U178" s="381"/>
      <c r="V178" s="381"/>
      <c r="W178" s="381"/>
      <c r="X178" s="381"/>
      <c r="Y178" s="381"/>
      <c r="Z178" s="381"/>
      <c r="AA178" s="381"/>
      <c r="AB178" s="381"/>
      <c r="AC178" s="381"/>
      <c r="AD178" s="381"/>
      <c r="AE178" s="381"/>
      <c r="AF178" s="381"/>
      <c r="AG178" s="381"/>
      <c r="AH178" s="381"/>
      <c r="AI178" s="381"/>
      <c r="AJ178" s="381"/>
      <c r="AK178" s="381"/>
      <c r="AL178" s="381"/>
      <c r="AM178" s="381"/>
      <c r="AN178" s="381"/>
      <c r="AO178" s="381"/>
    </row>
    <row r="179" spans="1:41" ht="15.75" customHeight="1">
      <c r="A179" s="298" t="s">
        <v>837</v>
      </c>
      <c r="B179" s="327">
        <f>('Pivot Table for Data Exchange'!$G$439)*100</f>
        <v>74.002154215019871</v>
      </c>
      <c r="C179" s="327">
        <f>('Pivot Table for Data Exchange'!$G$442)*100</f>
        <v>7.8574080046735508</v>
      </c>
      <c r="D179" s="328">
        <f>SUM(E179:G179)</f>
        <v>18.038812382476618</v>
      </c>
      <c r="E179" s="327">
        <f>('Pivot Table for Data Exchange'!$G$445)*100</f>
        <v>15.787231711992405</v>
      </c>
      <c r="F179" s="327">
        <f>('Pivot Table for Data Exchange'!$G$448)*100</f>
        <v>2.2193282987178162</v>
      </c>
      <c r="G179" s="334">
        <f>('Pivot Table for Data Exchange'!$G$451)*100</f>
        <v>3.2252371766395463E-2</v>
      </c>
      <c r="H179" s="327">
        <f>('Pivot Table for Data Exchange'!$G$454)*100</f>
        <v>0.10162539782996308</v>
      </c>
      <c r="I179" s="333" t="s">
        <v>837</v>
      </c>
      <c r="J179" s="327">
        <f>('Pivot Table for Data Exchange'!$G$457)*100</f>
        <v>14.709032488397</v>
      </c>
      <c r="K179" s="327">
        <f>('Pivot Table for Data Exchange'!$G$460)*100</f>
        <v>0</v>
      </c>
      <c r="L179" s="328">
        <f>SUM(M179:O179)</f>
        <v>85.290967511603</v>
      </c>
      <c r="M179" s="327">
        <f>('Pivot Table for Data Exchange'!$G$463)*100</f>
        <v>85.237415208853989</v>
      </c>
      <c r="N179" s="339">
        <f>('Pivot Table for Data Exchange'!$G$466)*100</f>
        <v>0</v>
      </c>
      <c r="O179" s="335">
        <f>('Pivot Table for Data Exchange'!$G$469)*100</f>
        <v>5.3552302749018212E-2</v>
      </c>
      <c r="P179" s="327">
        <f>('Pivot Table for Data Exchange'!$G$472)*100</f>
        <v>0</v>
      </c>
      <c r="Q179" s="332">
        <f t="shared" si="24"/>
        <v>100</v>
      </c>
      <c r="R179" s="332">
        <f t="shared" si="25"/>
        <v>100</v>
      </c>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row>
    <row r="180" spans="1:41" ht="15.75" customHeight="1">
      <c r="A180" s="298" t="s">
        <v>838</v>
      </c>
      <c r="B180" s="327">
        <f>('Pivot Table for Data Exchange'!$G$475)*100</f>
        <v>56.033803137673985</v>
      </c>
      <c r="C180" s="327">
        <f>('Pivot Table for Data Exchange'!$G$478)*100</f>
        <v>4.3175865663405188</v>
      </c>
      <c r="D180" s="328">
        <f>SUM(E180:G180)</f>
        <v>39.648610295985499</v>
      </c>
      <c r="E180" s="327">
        <f>('Pivot Table for Data Exchange'!$G$481)*100</f>
        <v>37.583544292709419</v>
      </c>
      <c r="F180" s="327">
        <f>('Pivot Table for Data Exchange'!$G$484)*100</f>
        <v>0.88690533544730688</v>
      </c>
      <c r="G180" s="335">
        <f>('Pivot Table for Data Exchange'!$G$487)*100</f>
        <v>1.1781606678287682</v>
      </c>
      <c r="H180" s="327">
        <f>('Pivot Table for Data Exchange'!$G$490)*100</f>
        <v>0</v>
      </c>
      <c r="I180" s="333" t="s">
        <v>838</v>
      </c>
      <c r="J180" s="327">
        <f>('Pivot Table for Data Exchange'!$G$493)*100</f>
        <v>17.587397039828911</v>
      </c>
      <c r="K180" s="327">
        <f>('Pivot Table for Data Exchange'!$G$496)*100</f>
        <v>0.42560399771317259</v>
      </c>
      <c r="L180" s="328">
        <f>SUM(M180:O180)</f>
        <v>81.986998962457903</v>
      </c>
      <c r="M180" s="327">
        <f>('Pivot Table for Data Exchange'!$G$499)*100</f>
        <v>72.140936328794965</v>
      </c>
      <c r="N180" s="327">
        <f>('Pivot Table for Data Exchange'!$G$502)*100</f>
        <v>0.42560399771317259</v>
      </c>
      <c r="O180" s="335">
        <f>('Pivot Table for Data Exchange'!$G$505)*100</f>
        <v>9.4204586359497746</v>
      </c>
      <c r="P180" s="327">
        <f>('Pivot Table for Data Exchange'!$G$508)*100</f>
        <v>0</v>
      </c>
      <c r="Q180" s="332">
        <f t="shared" si="24"/>
        <v>100</v>
      </c>
      <c r="R180" s="332">
        <f t="shared" si="25"/>
        <v>99.999999999999986</v>
      </c>
      <c r="S180" s="381"/>
      <c r="T180" s="381"/>
      <c r="U180" s="381"/>
      <c r="V180" s="381"/>
      <c r="W180" s="381"/>
      <c r="X180" s="381"/>
      <c r="Y180" s="381"/>
      <c r="Z180" s="381"/>
      <c r="AA180" s="381"/>
      <c r="AB180" s="381"/>
      <c r="AC180" s="381"/>
      <c r="AD180" s="381"/>
      <c r="AE180" s="381"/>
      <c r="AF180" s="381"/>
      <c r="AG180" s="381"/>
      <c r="AH180" s="381"/>
      <c r="AI180" s="381"/>
      <c r="AJ180" s="381"/>
      <c r="AK180" s="381"/>
      <c r="AL180" s="381"/>
      <c r="AM180" s="381"/>
      <c r="AN180" s="381"/>
      <c r="AO180" s="381"/>
    </row>
    <row r="181" spans="1:41" ht="15.75" customHeight="1">
      <c r="A181" s="298" t="s">
        <v>839</v>
      </c>
      <c r="B181" s="327">
        <f>('Pivot Table for Data Exchange'!$G$511)*100</f>
        <v>99.61737485263285</v>
      </c>
      <c r="C181" s="327">
        <f>('Pivot Table for Data Exchange'!$G$514)*100</f>
        <v>0.3826251473671578</v>
      </c>
      <c r="D181" s="328">
        <f>SUM(E181:G181)</f>
        <v>0</v>
      </c>
      <c r="E181" s="327">
        <f>('Pivot Table for Data Exchange'!$G$517)*100</f>
        <v>0</v>
      </c>
      <c r="F181" s="327">
        <f>('Pivot Table for Data Exchange'!$G$520)*100</f>
        <v>0</v>
      </c>
      <c r="G181" s="335">
        <f>('Pivot Table for Data Exchange'!$G$523)*100</f>
        <v>0</v>
      </c>
      <c r="H181" s="327">
        <f>('Pivot Table for Data Exchange'!$G$526)*100</f>
        <v>0</v>
      </c>
      <c r="I181" s="333" t="s">
        <v>839</v>
      </c>
      <c r="J181" s="327">
        <f>('Pivot Table for Data Exchange'!$G$529)*100</f>
        <v>98.610191925876904</v>
      </c>
      <c r="K181" s="327">
        <f>('Pivot Table for Data Exchange'!$G$532)*100</f>
        <v>1.3898080741230974</v>
      </c>
      <c r="L181" s="328">
        <f>SUM(M181:O181)</f>
        <v>0</v>
      </c>
      <c r="M181" s="327">
        <f>('Pivot Table for Data Exchange'!$G$535)*100</f>
        <v>0</v>
      </c>
      <c r="N181" s="327">
        <f>('Pivot Table for Data Exchange'!$G$538)*100</f>
        <v>0</v>
      </c>
      <c r="O181" s="335">
        <f>('Pivot Table for Data Exchange'!$G$541)*100</f>
        <v>0</v>
      </c>
      <c r="P181" s="327">
        <f>('Pivot Table for Data Exchange'!$G$544)*100</f>
        <v>0</v>
      </c>
      <c r="Q181" s="332">
        <f t="shared" si="24"/>
        <v>100.00000000000001</v>
      </c>
      <c r="R181" s="332">
        <f t="shared" si="25"/>
        <v>100</v>
      </c>
      <c r="S181" s="381"/>
      <c r="T181" s="381"/>
      <c r="U181" s="381"/>
      <c r="V181" s="381"/>
      <c r="W181" s="381"/>
      <c r="X181" s="381"/>
      <c r="Y181" s="381"/>
      <c r="Z181" s="381"/>
      <c r="AA181" s="381"/>
      <c r="AB181" s="381"/>
      <c r="AC181" s="381"/>
      <c r="AD181" s="381"/>
      <c r="AE181" s="381"/>
      <c r="AF181" s="381"/>
      <c r="AG181" s="381"/>
      <c r="AH181" s="381"/>
      <c r="AI181" s="381"/>
      <c r="AJ181" s="381"/>
      <c r="AK181" s="381"/>
      <c r="AL181" s="381"/>
      <c r="AM181" s="381"/>
      <c r="AN181" s="381"/>
      <c r="AO181" s="381"/>
    </row>
    <row r="182" spans="1:41" ht="15.75" customHeight="1">
      <c r="A182" s="304" t="s">
        <v>840</v>
      </c>
      <c r="B182" s="340">
        <f>('Pivot Table for Data Exchange'!$G$547)*100</f>
        <v>80.276831747142836</v>
      </c>
      <c r="C182" s="340">
        <f>('Pivot Table for Data Exchange'!$G$550)*100</f>
        <v>2.9170648969537067</v>
      </c>
      <c r="D182" s="341">
        <f>SUM(E182:G182)</f>
        <v>16.806103355903456</v>
      </c>
      <c r="E182" s="340">
        <f>('Pivot Table for Data Exchange'!$G$553)*100</f>
        <v>16.46788805578365</v>
      </c>
      <c r="F182" s="340">
        <f>('Pivot Table for Data Exchange'!$G$556)*100</f>
        <v>0.33821530011980561</v>
      </c>
      <c r="G182" s="342">
        <f>('Pivot Table for Data Exchange'!$G$559)*100</f>
        <v>0</v>
      </c>
      <c r="H182" s="340">
        <f>('Pivot Table for Data Exchange'!$G$562)*100</f>
        <v>0</v>
      </c>
      <c r="I182" s="343" t="s">
        <v>840</v>
      </c>
      <c r="J182" s="340">
        <f>('Pivot Table for Data Exchange'!$G$565)*100</f>
        <v>40.743564445241724</v>
      </c>
      <c r="K182" s="340">
        <f>('Pivot Table for Data Exchange'!$G$568)*100</f>
        <v>5.4892815499147911</v>
      </c>
      <c r="L182" s="341">
        <f>SUM(M182:O182)</f>
        <v>53.767154004843476</v>
      </c>
      <c r="M182" s="340">
        <f>('Pivot Table for Data Exchange'!$G$571)*100</f>
        <v>53.713337519059998</v>
      </c>
      <c r="N182" s="340">
        <f>('Pivot Table for Data Exchange'!$G$574)*100</f>
        <v>5.3816485783478342E-2</v>
      </c>
      <c r="O182" s="342">
        <f>('Pivot Table for Data Exchange'!$G$577)*100</f>
        <v>0</v>
      </c>
      <c r="P182" s="340">
        <f>('Pivot Table for Data Exchange'!$G$580)*100</f>
        <v>0</v>
      </c>
      <c r="Q182" s="332">
        <f t="shared" si="24"/>
        <v>100</v>
      </c>
      <c r="R182" s="332">
        <f t="shared" si="25"/>
        <v>100</v>
      </c>
      <c r="S182" s="381"/>
      <c r="T182" s="381"/>
      <c r="U182" s="381"/>
      <c r="V182" s="381"/>
      <c r="W182" s="381"/>
      <c r="X182" s="381"/>
      <c r="Y182" s="381"/>
      <c r="Z182" s="381"/>
      <c r="AA182" s="381"/>
      <c r="AB182" s="381"/>
      <c r="AC182" s="381"/>
      <c r="AD182" s="381"/>
      <c r="AE182" s="381"/>
      <c r="AF182" s="381"/>
      <c r="AG182" s="381"/>
      <c r="AH182" s="381"/>
      <c r="AI182" s="381"/>
      <c r="AJ182" s="381"/>
      <c r="AK182" s="381"/>
      <c r="AL182" s="381"/>
      <c r="AM182" s="381"/>
      <c r="AN182" s="381"/>
      <c r="AO182" s="381"/>
    </row>
    <row r="183" spans="1:41" s="371" customFormat="1" ht="13.5" customHeight="1">
      <c r="A183" s="346" t="s">
        <v>866</v>
      </c>
      <c r="B183" s="347"/>
      <c r="C183" s="347"/>
      <c r="D183" s="348"/>
      <c r="E183" s="347"/>
      <c r="F183" s="348"/>
      <c r="G183" s="348"/>
      <c r="H183" s="347"/>
      <c r="I183" s="346" t="s">
        <v>866</v>
      </c>
      <c r="J183" s="347"/>
      <c r="K183" s="347"/>
      <c r="L183" s="348"/>
      <c r="M183" s="347"/>
      <c r="N183" s="348"/>
      <c r="O183" s="348"/>
      <c r="P183" s="347"/>
      <c r="Q183" s="332">
        <f t="shared" si="24"/>
        <v>0</v>
      </c>
      <c r="R183" s="332">
        <f t="shared" si="25"/>
        <v>0</v>
      </c>
      <c r="S183" s="384"/>
      <c r="T183" s="384"/>
      <c r="U183" s="384"/>
      <c r="V183" s="384"/>
      <c r="W183" s="384"/>
      <c r="X183" s="384"/>
      <c r="Y183" s="384"/>
      <c r="Z183" s="384"/>
      <c r="AA183" s="384"/>
      <c r="AB183" s="384"/>
      <c r="AC183" s="384"/>
      <c r="AD183" s="384"/>
      <c r="AE183" s="384"/>
      <c r="AF183" s="384"/>
      <c r="AG183" s="384"/>
      <c r="AH183" s="384"/>
      <c r="AI183" s="384"/>
      <c r="AJ183" s="384"/>
      <c r="AK183" s="384"/>
      <c r="AL183" s="384"/>
      <c r="AM183" s="384"/>
      <c r="AN183" s="384"/>
      <c r="AO183" s="384"/>
    </row>
    <row r="184" spans="1:41" s="371" customFormat="1" ht="11.25" customHeight="1">
      <c r="A184" s="350"/>
      <c r="B184" s="359"/>
      <c r="C184" s="359"/>
      <c r="D184" s="359"/>
      <c r="E184" s="359"/>
      <c r="F184" s="359"/>
      <c r="G184" s="359"/>
      <c r="H184" s="359"/>
      <c r="I184" s="350"/>
      <c r="J184" s="359"/>
      <c r="K184" s="359"/>
      <c r="L184" s="359"/>
      <c r="M184" s="359"/>
      <c r="N184" s="359"/>
      <c r="O184" s="359"/>
      <c r="P184" s="359"/>
      <c r="Q184" s="332">
        <f t="shared" si="24"/>
        <v>0</v>
      </c>
      <c r="R184" s="332">
        <f t="shared" si="25"/>
        <v>0</v>
      </c>
      <c r="S184" s="384"/>
      <c r="T184" s="384"/>
      <c r="U184" s="384"/>
      <c r="V184" s="384"/>
      <c r="W184" s="384"/>
      <c r="X184" s="384"/>
      <c r="Y184" s="384"/>
      <c r="Z184" s="384"/>
      <c r="AA184" s="384"/>
      <c r="AB184" s="384"/>
      <c r="AC184" s="384"/>
      <c r="AD184" s="384"/>
      <c r="AE184" s="384"/>
      <c r="AF184" s="384"/>
      <c r="AG184" s="384"/>
      <c r="AH184" s="384"/>
      <c r="AI184" s="384"/>
      <c r="AJ184" s="384"/>
      <c r="AK184" s="384"/>
      <c r="AL184" s="384"/>
      <c r="AM184" s="384"/>
      <c r="AN184" s="384"/>
      <c r="AO184" s="384"/>
    </row>
    <row r="185" spans="1:41" s="371" customFormat="1" ht="13.5" customHeight="1">
      <c r="A185" s="356"/>
      <c r="B185" s="357"/>
      <c r="C185" s="345"/>
      <c r="D185" s="345"/>
      <c r="E185" s="345"/>
      <c r="F185" s="345"/>
      <c r="G185" s="345"/>
      <c r="H185" s="351" t="s">
        <v>980</v>
      </c>
      <c r="I185" s="356"/>
      <c r="J185" s="345"/>
      <c r="K185" s="345"/>
      <c r="L185" s="345"/>
      <c r="M185" s="345"/>
      <c r="N185" s="345"/>
      <c r="O185" s="345"/>
      <c r="P185" s="351" t="s">
        <v>980</v>
      </c>
      <c r="Q185" s="332">
        <f t="shared" si="24"/>
        <v>0</v>
      </c>
      <c r="R185" s="332">
        <f t="shared" si="25"/>
        <v>0</v>
      </c>
    </row>
    <row r="186" spans="1:41" ht="18">
      <c r="A186" s="293" t="s">
        <v>877</v>
      </c>
      <c r="B186" s="294"/>
      <c r="C186" s="294"/>
      <c r="D186" s="294"/>
      <c r="E186" s="294"/>
      <c r="F186" s="294"/>
      <c r="G186" s="294"/>
      <c r="H186" s="294"/>
      <c r="I186" s="293" t="s">
        <v>878</v>
      </c>
      <c r="J186" s="295"/>
      <c r="K186" s="295"/>
      <c r="L186" s="294"/>
      <c r="M186" s="295"/>
      <c r="N186" s="295"/>
      <c r="O186" s="295"/>
      <c r="P186" s="295"/>
      <c r="Q186" s="332">
        <f t="shared" si="24"/>
        <v>0</v>
      </c>
      <c r="R186" s="332">
        <f t="shared" si="25"/>
        <v>0</v>
      </c>
    </row>
    <row r="187" spans="1:41">
      <c r="A187" s="299"/>
      <c r="B187" s="295"/>
      <c r="C187" s="295"/>
      <c r="D187" s="295"/>
      <c r="E187" s="295"/>
      <c r="F187" s="295"/>
      <c r="G187" s="295"/>
      <c r="H187" s="295"/>
      <c r="I187" s="299"/>
      <c r="J187" s="295"/>
      <c r="K187" s="295"/>
      <c r="L187" s="295"/>
      <c r="M187" s="295"/>
      <c r="N187" s="295"/>
      <c r="O187" s="295"/>
      <c r="P187" s="295"/>
      <c r="Q187" s="332">
        <f t="shared" si="24"/>
        <v>0</v>
      </c>
      <c r="R187" s="332">
        <f t="shared" si="25"/>
        <v>0</v>
      </c>
    </row>
    <row r="188" spans="1:41" ht="15.75">
      <c r="A188" s="301" t="s">
        <v>846</v>
      </c>
      <c r="B188" s="295"/>
      <c r="C188" s="295"/>
      <c r="D188" s="295"/>
      <c r="E188" s="295"/>
      <c r="F188" s="295"/>
      <c r="G188" s="295"/>
      <c r="H188" s="295"/>
      <c r="I188" s="301" t="s">
        <v>847</v>
      </c>
      <c r="J188" s="295"/>
      <c r="K188" s="295"/>
      <c r="L188" s="295"/>
      <c r="M188" s="295"/>
      <c r="N188" s="295"/>
      <c r="O188" s="295"/>
      <c r="P188" s="295"/>
      <c r="Q188" s="332">
        <f t="shared" si="24"/>
        <v>0</v>
      </c>
      <c r="R188" s="332">
        <f t="shared" si="25"/>
        <v>0</v>
      </c>
    </row>
    <row r="189" spans="1:41" ht="15.75">
      <c r="A189" s="301" t="s">
        <v>987</v>
      </c>
      <c r="B189" s="295"/>
      <c r="C189" s="295"/>
      <c r="D189" s="295"/>
      <c r="E189" s="295"/>
      <c r="F189" s="295"/>
      <c r="G189" s="295"/>
      <c r="H189" s="295"/>
      <c r="I189" s="301" t="s">
        <v>987</v>
      </c>
      <c r="J189" s="295"/>
      <c r="K189" s="295"/>
      <c r="L189" s="295"/>
      <c r="M189" s="295"/>
      <c r="N189" s="295"/>
      <c r="O189" s="295"/>
      <c r="P189" s="295"/>
      <c r="Q189" s="332">
        <f t="shared" si="24"/>
        <v>0</v>
      </c>
      <c r="R189" s="332">
        <f t="shared" si="25"/>
        <v>0</v>
      </c>
    </row>
    <row r="190" spans="1:41">
      <c r="A190" s="304"/>
      <c r="B190" s="305"/>
      <c r="C190" s="305"/>
      <c r="D190" s="305"/>
      <c r="E190" s="305"/>
      <c r="F190" s="305"/>
      <c r="G190" s="305"/>
      <c r="H190" s="305"/>
      <c r="I190" s="306"/>
      <c r="L190" s="307"/>
      <c r="P190" s="304"/>
      <c r="Q190" s="332">
        <f t="shared" si="24"/>
        <v>0</v>
      </c>
      <c r="R190" s="332">
        <f t="shared" si="25"/>
        <v>0</v>
      </c>
    </row>
    <row r="191" spans="1:41" s="325" customFormat="1">
      <c r="A191" s="309"/>
      <c r="B191" s="310" t="s">
        <v>848</v>
      </c>
      <c r="C191" s="310"/>
      <c r="D191" s="310"/>
      <c r="E191" s="310"/>
      <c r="F191" s="310"/>
      <c r="G191" s="310"/>
      <c r="H191" s="311"/>
      <c r="I191" s="309"/>
      <c r="J191" s="310" t="s">
        <v>848</v>
      </c>
      <c r="K191" s="310"/>
      <c r="L191" s="310"/>
      <c r="M191" s="310"/>
      <c r="N191" s="310"/>
      <c r="O191" s="310"/>
      <c r="P191" s="311"/>
      <c r="Q191" s="332">
        <f t="shared" si="24"/>
        <v>0</v>
      </c>
      <c r="R191" s="332">
        <f t="shared" si="25"/>
        <v>0</v>
      </c>
    </row>
    <row r="192" spans="1:41" s="325" customFormat="1">
      <c r="A192" s="309"/>
      <c r="B192" s="310" t="s">
        <v>849</v>
      </c>
      <c r="C192" s="310"/>
      <c r="D192" s="450" t="s">
        <v>850</v>
      </c>
      <c r="E192" s="448"/>
      <c r="F192" s="448"/>
      <c r="G192" s="448"/>
      <c r="H192" s="317" t="s">
        <v>740</v>
      </c>
      <c r="I192" s="309"/>
      <c r="J192" s="310" t="s">
        <v>849</v>
      </c>
      <c r="K192" s="310"/>
      <c r="L192" s="450" t="s">
        <v>850</v>
      </c>
      <c r="M192" s="448"/>
      <c r="N192" s="448"/>
      <c r="O192" s="448"/>
      <c r="P192" s="317" t="s">
        <v>740</v>
      </c>
      <c r="Q192" s="332">
        <f t="shared" si="24"/>
        <v>0</v>
      </c>
      <c r="R192" s="332">
        <f t="shared" si="25"/>
        <v>0</v>
      </c>
    </row>
    <row r="193" spans="1:41" s="325" customFormat="1" ht="40.5" customHeight="1">
      <c r="A193" s="309"/>
      <c r="B193" s="318" t="s">
        <v>851</v>
      </c>
      <c r="C193" s="319" t="s">
        <v>852</v>
      </c>
      <c r="D193" s="320" t="s">
        <v>853</v>
      </c>
      <c r="E193" s="321" t="s">
        <v>8</v>
      </c>
      <c r="F193" s="318" t="s">
        <v>854</v>
      </c>
      <c r="G193" s="322" t="s">
        <v>864</v>
      </c>
      <c r="H193" s="323" t="s">
        <v>856</v>
      </c>
      <c r="I193" s="309"/>
      <c r="J193" s="318" t="s">
        <v>851</v>
      </c>
      <c r="K193" s="319" t="s">
        <v>852</v>
      </c>
      <c r="L193" s="320" t="s">
        <v>853</v>
      </c>
      <c r="M193" s="321" t="s">
        <v>8</v>
      </c>
      <c r="N193" s="318" t="s">
        <v>854</v>
      </c>
      <c r="O193" s="322" t="s">
        <v>864</v>
      </c>
      <c r="P193" s="323" t="s">
        <v>856</v>
      </c>
      <c r="Q193" s="332">
        <f t="shared" si="24"/>
        <v>0</v>
      </c>
      <c r="R193" s="332">
        <f t="shared" si="25"/>
        <v>0</v>
      </c>
      <c r="T193" s="324"/>
    </row>
    <row r="194" spans="1:41" ht="15.75" customHeight="1">
      <c r="A194" s="353" t="s">
        <v>825</v>
      </c>
      <c r="B194" s="380">
        <f>('Pivot Table for Data Exchange'!$H$7)*100</f>
        <v>16.440155147665152</v>
      </c>
      <c r="C194" s="327">
        <f>('Pivot Table for Data Exchange'!$H$10)*100</f>
        <v>2.6066640197904896</v>
      </c>
      <c r="D194" s="328">
        <f>SUM(E194:G194)</f>
        <v>80.953180832544362</v>
      </c>
      <c r="E194" s="327">
        <f>('Pivot Table for Data Exchange'!$H$13)*100</f>
        <v>80.953180832544362</v>
      </c>
      <c r="F194" s="327">
        <f>('Pivot Table for Data Exchange'!$H$16)*100</f>
        <v>0</v>
      </c>
      <c r="G194" s="331">
        <f>('Pivot Table for Data Exchange'!$H$19)*100</f>
        <v>0</v>
      </c>
      <c r="H194" s="327">
        <f>('Pivot Table for Data Exchange'!$H$22)*100</f>
        <v>0</v>
      </c>
      <c r="I194" s="330" t="s">
        <v>825</v>
      </c>
      <c r="J194" s="327">
        <f>('Pivot Table for Data Exchange'!$H$25)*100</f>
        <v>1.2626262626262625</v>
      </c>
      <c r="K194" s="327">
        <f>('Pivot Table for Data Exchange'!$H$28)*100</f>
        <v>0</v>
      </c>
      <c r="L194" s="328">
        <f>SUM(M194:O194)</f>
        <v>98.73737373737373</v>
      </c>
      <c r="M194" s="327">
        <f>('Pivot Table for Data Exchange'!$H$31)*100</f>
        <v>98.73737373737373</v>
      </c>
      <c r="N194" s="327">
        <f>('Pivot Table for Data Exchange'!$H$34)*100</f>
        <v>0</v>
      </c>
      <c r="O194" s="331">
        <f>('Pivot Table for Data Exchange'!$H$37)*100</f>
        <v>0</v>
      </c>
      <c r="P194" s="327">
        <f>('Pivot Table for Data Exchange'!$H$40)*100</f>
        <v>0</v>
      </c>
      <c r="Q194" s="332">
        <f t="shared" si="24"/>
        <v>100</v>
      </c>
      <c r="R194" s="332">
        <f t="shared" si="25"/>
        <v>99.999999999999986</v>
      </c>
      <c r="S194" s="381"/>
      <c r="T194" s="381"/>
      <c r="U194" s="381"/>
      <c r="V194" s="381"/>
      <c r="W194" s="381"/>
      <c r="X194" s="381"/>
      <c r="Y194" s="381"/>
      <c r="Z194" s="381"/>
      <c r="AA194" s="381"/>
      <c r="AB194" s="381"/>
      <c r="AC194" s="381"/>
      <c r="AD194" s="381"/>
      <c r="AE194" s="381"/>
      <c r="AF194" s="381"/>
      <c r="AG194" s="381"/>
      <c r="AH194" s="381"/>
      <c r="AI194" s="381"/>
      <c r="AJ194" s="381"/>
      <c r="AK194" s="381"/>
      <c r="AL194" s="381"/>
      <c r="AM194" s="381"/>
      <c r="AN194" s="381"/>
      <c r="AO194" s="381"/>
    </row>
    <row r="195" spans="1:41" ht="15.75" customHeight="1">
      <c r="A195" s="298" t="s">
        <v>826</v>
      </c>
      <c r="B195" s="327">
        <f>('Pivot Table for Data Exchange'!$H$43)*100</f>
        <v>71.463441069996321</v>
      </c>
      <c r="C195" s="327">
        <f>('Pivot Table for Data Exchange'!$H$46)*100</f>
        <v>5.4531659838286615</v>
      </c>
      <c r="D195" s="328">
        <f t="shared" ref="D195:D197" si="30">SUM(E195:G195)</f>
        <v>23.083392946175024</v>
      </c>
      <c r="E195" s="327">
        <f>('Pivot Table for Data Exchange'!$H$49)*100</f>
        <v>23.083392946175024</v>
      </c>
      <c r="F195" s="327">
        <f>('Pivot Table for Data Exchange'!$H$52)*100</f>
        <v>0</v>
      </c>
      <c r="G195" s="335">
        <f>('Pivot Table for Data Exchange'!$H$55)*100</f>
        <v>0</v>
      </c>
      <c r="H195" s="327">
        <f>('Pivot Table for Data Exchange'!$H$58)*100</f>
        <v>0</v>
      </c>
      <c r="I195" s="333" t="s">
        <v>826</v>
      </c>
      <c r="J195" s="327">
        <f>('Pivot Table for Data Exchange'!$H$61)*100</f>
        <v>67.285382830626446</v>
      </c>
      <c r="K195" s="327">
        <f>('Pivot Table for Data Exchange'!$H$64)*100</f>
        <v>0</v>
      </c>
      <c r="L195" s="328">
        <f t="shared" ref="L195:L197" si="31">SUM(M195:O195)</f>
        <v>32.714617169373547</v>
      </c>
      <c r="M195" s="327">
        <f>('Pivot Table for Data Exchange'!$H$67)*100</f>
        <v>32.714617169373547</v>
      </c>
      <c r="N195" s="327">
        <f>('Pivot Table for Data Exchange'!$H$70)*100</f>
        <v>0</v>
      </c>
      <c r="O195" s="335">
        <f>('Pivot Table for Data Exchange'!$H$73)*100</f>
        <v>0</v>
      </c>
      <c r="P195" s="327">
        <f>('Pivot Table for Data Exchange'!$H$76)*100</f>
        <v>0</v>
      </c>
      <c r="Q195" s="332">
        <f t="shared" si="24"/>
        <v>100</v>
      </c>
      <c r="R195" s="332">
        <f t="shared" si="25"/>
        <v>100</v>
      </c>
      <c r="S195" s="381"/>
      <c r="T195" s="381"/>
      <c r="U195" s="381"/>
      <c r="V195" s="381"/>
      <c r="W195" s="381"/>
      <c r="X195" s="381"/>
      <c r="Y195" s="381"/>
      <c r="Z195" s="381"/>
      <c r="AA195" s="381"/>
      <c r="AB195" s="381"/>
      <c r="AC195" s="381"/>
      <c r="AD195" s="381"/>
      <c r="AE195" s="381"/>
      <c r="AF195" s="381"/>
      <c r="AG195" s="381"/>
      <c r="AH195" s="381"/>
      <c r="AI195" s="381"/>
      <c r="AJ195" s="381"/>
      <c r="AK195" s="381"/>
      <c r="AL195" s="381"/>
      <c r="AM195" s="381"/>
      <c r="AN195" s="381"/>
      <c r="AO195" s="381"/>
    </row>
    <row r="196" spans="1:41" ht="15.75" customHeight="1">
      <c r="A196" s="298" t="s">
        <v>827</v>
      </c>
      <c r="B196" s="327">
        <f>('Pivot Table for Data Exchange'!$H$79)*100</f>
        <v>0</v>
      </c>
      <c r="C196" s="327">
        <f>('Pivot Table for Data Exchange'!$H$82)*100</f>
        <v>0</v>
      </c>
      <c r="D196" s="328">
        <f t="shared" si="30"/>
        <v>0</v>
      </c>
      <c r="E196" s="327">
        <f>('Pivot Table for Data Exchange'!$H$85)*100</f>
        <v>0</v>
      </c>
      <c r="F196" s="327">
        <f>('Pivot Table for Data Exchange'!$H$88)*100</f>
        <v>0</v>
      </c>
      <c r="G196" s="335">
        <f>('Pivot Table for Data Exchange'!$H$91)*100</f>
        <v>0</v>
      </c>
      <c r="H196" s="327">
        <f>('Pivot Table for Data Exchange'!$H$94)*100</f>
        <v>0</v>
      </c>
      <c r="I196" s="333" t="s">
        <v>827</v>
      </c>
      <c r="J196" s="327">
        <f>('Pivot Table for Data Exchange'!$H$97)*100</f>
        <v>0</v>
      </c>
      <c r="K196" s="327">
        <f>('Pivot Table for Data Exchange'!$H$100)*100</f>
        <v>0</v>
      </c>
      <c r="L196" s="328">
        <f t="shared" si="31"/>
        <v>0</v>
      </c>
      <c r="M196" s="327">
        <f>('Pivot Table for Data Exchange'!$H$103)*100</f>
        <v>0</v>
      </c>
      <c r="N196" s="327">
        <f>('Pivot Table for Data Exchange'!$H$106)*100</f>
        <v>0</v>
      </c>
      <c r="O196" s="335">
        <f>('Pivot Table for Data Exchange'!$H$109)*100</f>
        <v>0</v>
      </c>
      <c r="P196" s="327">
        <f>('Pivot Table for Data Exchange'!$H$112)*100</f>
        <v>0</v>
      </c>
      <c r="Q196" s="332">
        <f t="shared" si="24"/>
        <v>0</v>
      </c>
      <c r="R196" s="332">
        <f t="shared" si="25"/>
        <v>0</v>
      </c>
      <c r="S196" s="381"/>
      <c r="T196" s="385"/>
      <c r="U196" s="381"/>
      <c r="V196" s="381"/>
      <c r="W196" s="381"/>
      <c r="X196" s="381"/>
      <c r="Y196" s="381"/>
      <c r="Z196" s="381"/>
      <c r="AA196" s="381"/>
      <c r="AB196" s="381"/>
      <c r="AC196" s="381"/>
      <c r="AD196" s="381"/>
      <c r="AE196" s="381"/>
      <c r="AF196" s="381"/>
      <c r="AG196" s="381"/>
      <c r="AH196" s="381"/>
      <c r="AI196" s="381"/>
      <c r="AJ196" s="381"/>
      <c r="AK196" s="381"/>
      <c r="AL196" s="381"/>
      <c r="AM196" s="381"/>
      <c r="AN196" s="381"/>
      <c r="AO196" s="381"/>
    </row>
    <row r="197" spans="1:41" ht="15.75" customHeight="1">
      <c r="A197" s="298" t="s">
        <v>865</v>
      </c>
      <c r="B197" s="327">
        <f>('Pivot Table for Data Exchange'!$H$115)*100</f>
        <v>0</v>
      </c>
      <c r="C197" s="327">
        <f>('Pivot Table for Data Exchange'!$H$118)*100</f>
        <v>0</v>
      </c>
      <c r="D197" s="328">
        <f t="shared" si="30"/>
        <v>0</v>
      </c>
      <c r="E197" s="327">
        <f>('Pivot Table for Data Exchange'!$H$121)*100</f>
        <v>0</v>
      </c>
      <c r="F197" s="327">
        <f>('Pivot Table for Data Exchange'!$H$124)*100</f>
        <v>0</v>
      </c>
      <c r="G197" s="335">
        <f>('Pivot Table for Data Exchange'!$H$127)*100</f>
        <v>0</v>
      </c>
      <c r="H197" s="327">
        <f>('Pivot Table for Data Exchange'!$H$130)*100</f>
        <v>0</v>
      </c>
      <c r="I197" s="333" t="s">
        <v>828</v>
      </c>
      <c r="J197" s="327">
        <f>('Pivot Table for Data Exchange'!$H$133)*100</f>
        <v>0</v>
      </c>
      <c r="K197" s="327">
        <f>('Pivot Table for Data Exchange'!$H$136)*100</f>
        <v>0</v>
      </c>
      <c r="L197" s="328">
        <f t="shared" si="31"/>
        <v>0</v>
      </c>
      <c r="M197" s="327">
        <f>('Pivot Table for Data Exchange'!$H$139)*100</f>
        <v>0</v>
      </c>
      <c r="N197" s="327">
        <f>('Pivot Table for Data Exchange'!$H$142)*100</f>
        <v>0</v>
      </c>
      <c r="O197" s="335">
        <f>('Pivot Table for Data Exchange'!$H$145)*100</f>
        <v>0</v>
      </c>
      <c r="P197" s="327">
        <f>('Pivot Table for Data Exchange'!$H$148)*100</f>
        <v>0</v>
      </c>
      <c r="Q197" s="332">
        <f t="shared" si="24"/>
        <v>0</v>
      </c>
      <c r="R197" s="332">
        <f t="shared" si="25"/>
        <v>0</v>
      </c>
      <c r="S197" s="381"/>
      <c r="U197" s="381"/>
      <c r="V197" s="381"/>
      <c r="W197" s="381"/>
      <c r="X197" s="381"/>
      <c r="Y197" s="381"/>
      <c r="Z197" s="381"/>
      <c r="AA197" s="381"/>
      <c r="AB197" s="381"/>
      <c r="AC197" s="381"/>
      <c r="AD197" s="381"/>
      <c r="AE197" s="381"/>
      <c r="AF197" s="381"/>
      <c r="AG197" s="381"/>
      <c r="AH197" s="381"/>
      <c r="AI197" s="381"/>
      <c r="AJ197" s="381"/>
      <c r="AK197" s="381"/>
      <c r="AL197" s="381"/>
      <c r="AM197" s="381"/>
      <c r="AN197" s="381"/>
      <c r="AO197" s="381"/>
    </row>
    <row r="198" spans="1:41" ht="15.75" customHeight="1">
      <c r="B198" s="327"/>
      <c r="C198" s="327"/>
      <c r="D198" s="328"/>
      <c r="E198" s="327"/>
      <c r="F198" s="327"/>
      <c r="G198" s="335"/>
      <c r="H198" s="327"/>
      <c r="I198" s="333"/>
      <c r="J198" s="327"/>
      <c r="K198" s="327"/>
      <c r="L198" s="328"/>
      <c r="M198" s="327"/>
      <c r="N198" s="327"/>
      <c r="O198" s="335"/>
      <c r="P198" s="327"/>
      <c r="Q198" s="332">
        <f t="shared" si="24"/>
        <v>0</v>
      </c>
      <c r="R198" s="332">
        <f t="shared" si="25"/>
        <v>0</v>
      </c>
      <c r="S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row>
    <row r="199" spans="1:41" ht="15.75" customHeight="1">
      <c r="A199" s="298" t="s">
        <v>829</v>
      </c>
      <c r="B199" s="327">
        <f>('Pivot Table for Data Exchange'!$H$151)*100</f>
        <v>82.193678141848665</v>
      </c>
      <c r="C199" s="327">
        <f>('Pivot Table for Data Exchange'!$H$154)*100</f>
        <v>1.2430765856945201</v>
      </c>
      <c r="D199" s="328">
        <f t="shared" ref="D199:D200" si="32">SUM(E199:G199)</f>
        <v>16.563245272456822</v>
      </c>
      <c r="E199" s="327">
        <f>('Pivot Table for Data Exchange'!$H$157)*100</f>
        <v>16.37179185680958</v>
      </c>
      <c r="F199" s="327">
        <f>('Pivot Table for Data Exchange'!$H$160)*100</f>
        <v>0.19145341564724094</v>
      </c>
      <c r="G199" s="335">
        <f>('Pivot Table for Data Exchange'!$H$163)*100</f>
        <v>0</v>
      </c>
      <c r="H199" s="327">
        <f>('Pivot Table for Data Exchange'!$H$166)*100</f>
        <v>0</v>
      </c>
      <c r="I199" s="333" t="s">
        <v>829</v>
      </c>
      <c r="J199" s="327">
        <f>('Pivot Table for Data Exchange'!$H$169)*100</f>
        <v>9.4806265457543279</v>
      </c>
      <c r="K199" s="327">
        <f>('Pivot Table for Data Exchange'!$H$172)*100</f>
        <v>2.3083264633140974</v>
      </c>
      <c r="L199" s="328">
        <f t="shared" ref="L199:L200" si="33">SUM(M199:O199)</f>
        <v>88.211046990931578</v>
      </c>
      <c r="M199" s="327">
        <f>('Pivot Table for Data Exchange'!$H$175)*100</f>
        <v>88.211046990931578</v>
      </c>
      <c r="N199" s="327">
        <f>('Pivot Table for Data Exchange'!$H$178)*100</f>
        <v>0</v>
      </c>
      <c r="O199" s="335">
        <f>('Pivot Table for Data Exchange'!$H$181)*100</f>
        <v>0</v>
      </c>
      <c r="P199" s="327">
        <f>('Pivot Table for Data Exchange'!$H$184)*100</f>
        <v>0</v>
      </c>
      <c r="Q199" s="332">
        <f t="shared" si="24"/>
        <v>100.00000000000001</v>
      </c>
      <c r="R199" s="332">
        <f t="shared" si="25"/>
        <v>100</v>
      </c>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row>
    <row r="200" spans="1:41" ht="15.75" customHeight="1">
      <c r="A200" s="298" t="s">
        <v>830</v>
      </c>
      <c r="B200" s="327">
        <f>('Pivot Table for Data Exchange'!$H$187)*100</f>
        <v>0</v>
      </c>
      <c r="C200" s="327">
        <f>('Pivot Table for Data Exchange'!$H$190)*100</f>
        <v>0</v>
      </c>
      <c r="D200" s="328">
        <f t="shared" si="32"/>
        <v>0</v>
      </c>
      <c r="E200" s="327">
        <f>('Pivot Table for Data Exchange'!$H$193)*100</f>
        <v>0</v>
      </c>
      <c r="F200" s="327">
        <f>('Pivot Table for Data Exchange'!$H$196)*100</f>
        <v>0</v>
      </c>
      <c r="G200" s="335">
        <f>('Pivot Table for Data Exchange'!$H$199)*100</f>
        <v>0</v>
      </c>
      <c r="H200" s="327">
        <f>('Pivot Table for Data Exchange'!$H$202)*100</f>
        <v>0</v>
      </c>
      <c r="I200" s="333" t="s">
        <v>830</v>
      </c>
      <c r="J200" s="327">
        <f>('Pivot Table for Data Exchange'!$H$205)*100</f>
        <v>0</v>
      </c>
      <c r="K200" s="327">
        <f>('Pivot Table for Data Exchange'!$H$208)*100</f>
        <v>0</v>
      </c>
      <c r="L200" s="328">
        <f t="shared" si="33"/>
        <v>0</v>
      </c>
      <c r="M200" s="327">
        <f>('Pivot Table for Data Exchange'!$H$211)*100</f>
        <v>0</v>
      </c>
      <c r="N200" s="327">
        <f>('Pivot Table for Data Exchange'!$H$214)*100</f>
        <v>0</v>
      </c>
      <c r="O200" s="335">
        <f>('Pivot Table for Data Exchange'!$H$217)*100</f>
        <v>0</v>
      </c>
      <c r="P200" s="327">
        <f>('Pivot Table for Data Exchange'!$H$220)*100</f>
        <v>0</v>
      </c>
      <c r="Q200" s="332">
        <f t="shared" si="24"/>
        <v>0</v>
      </c>
      <c r="R200" s="332">
        <f t="shared" si="25"/>
        <v>0</v>
      </c>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row>
    <row r="201" spans="1:41" ht="15.75" customHeight="1">
      <c r="A201" s="298" t="s">
        <v>831</v>
      </c>
      <c r="B201" s="327">
        <f>('Pivot Table for Data Exchange'!$H$223)*100</f>
        <v>62.472727272727305</v>
      </c>
      <c r="C201" s="327">
        <f>('Pivot Table for Data Exchange'!$H$226)*100</f>
        <v>0</v>
      </c>
      <c r="D201" s="328">
        <f>SUM(E201:G201)</f>
        <v>37.527272727272702</v>
      </c>
      <c r="E201" s="327">
        <f>('Pivot Table for Data Exchange'!$H$229)*100</f>
        <v>37.527272727272702</v>
      </c>
      <c r="F201" s="327">
        <f>('Pivot Table for Data Exchange'!$H$232)*100</f>
        <v>0</v>
      </c>
      <c r="G201" s="335">
        <f>('Pivot Table for Data Exchange'!$H$235)*100</f>
        <v>0</v>
      </c>
      <c r="H201" s="327">
        <f>('Pivot Table for Data Exchange'!$H$238)*100</f>
        <v>0</v>
      </c>
      <c r="I201" s="333" t="s">
        <v>831</v>
      </c>
      <c r="J201" s="327">
        <f>('Pivot Table for Data Exchange'!$H$241)*100</f>
        <v>0</v>
      </c>
      <c r="K201" s="327">
        <f>('Pivot Table for Data Exchange'!$H$244)*100</f>
        <v>0</v>
      </c>
      <c r="L201" s="328">
        <f>SUM(M201:O201)</f>
        <v>0</v>
      </c>
      <c r="M201" s="327">
        <f>('Pivot Table for Data Exchange'!$H$247)*100</f>
        <v>0</v>
      </c>
      <c r="N201" s="327">
        <f>('Pivot Table for Data Exchange'!$H$250)*100</f>
        <v>0</v>
      </c>
      <c r="O201" s="335">
        <f>('Pivot Table for Data Exchange'!$H$253)*100</f>
        <v>0</v>
      </c>
      <c r="P201" s="327">
        <f>('Pivot Table for Data Exchange'!$H$256)*100</f>
        <v>0</v>
      </c>
      <c r="Q201" s="332">
        <f t="shared" si="24"/>
        <v>100</v>
      </c>
      <c r="R201" s="332">
        <f t="shared" si="25"/>
        <v>0</v>
      </c>
      <c r="S201" s="381"/>
      <c r="T201" s="385"/>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row>
    <row r="202" spans="1:41" ht="15.75" customHeight="1">
      <c r="A202" s="298" t="s">
        <v>832</v>
      </c>
      <c r="B202" s="327">
        <f>('Pivot Table for Data Exchange'!$H$259)*100</f>
        <v>99.850266712418502</v>
      </c>
      <c r="C202" s="327">
        <f>('Pivot Table for Data Exchange'!$H$262)*100</f>
        <v>0</v>
      </c>
      <c r="D202" s="328">
        <f>SUM(E202:G202)</f>
        <v>0.14973328758149546</v>
      </c>
      <c r="E202" s="327">
        <f>('Pivot Table for Data Exchange'!$H$265)*100</f>
        <v>0.14973328758149546</v>
      </c>
      <c r="F202" s="327">
        <f>('Pivot Table for Data Exchange'!$H$268)*100</f>
        <v>0</v>
      </c>
      <c r="G202" s="335">
        <f>('Pivot Table for Data Exchange'!$H$271)*100</f>
        <v>0</v>
      </c>
      <c r="H202" s="327">
        <f>('Pivot Table for Data Exchange'!$H$274)*100</f>
        <v>0</v>
      </c>
      <c r="I202" s="333" t="s">
        <v>832</v>
      </c>
      <c r="J202" s="327">
        <f>('Pivot Table for Data Exchange'!$H$277)*100</f>
        <v>100</v>
      </c>
      <c r="K202" s="327">
        <f>('Pivot Table for Data Exchange'!$H$280)*100</f>
        <v>0</v>
      </c>
      <c r="L202" s="328">
        <f>SUM(M202:O202)</f>
        <v>0</v>
      </c>
      <c r="M202" s="327">
        <f>('Pivot Table for Data Exchange'!$H$283)*100</f>
        <v>0</v>
      </c>
      <c r="N202" s="327">
        <f>('Pivot Table for Data Exchange'!$H$286)*100</f>
        <v>0</v>
      </c>
      <c r="O202" s="335">
        <f>('Pivot Table for Data Exchange'!$H$289)*100</f>
        <v>0</v>
      </c>
      <c r="P202" s="327">
        <f>('Pivot Table for Data Exchange'!$H$292)*100</f>
        <v>0</v>
      </c>
      <c r="Q202" s="332">
        <f t="shared" si="24"/>
        <v>100</v>
      </c>
      <c r="R202" s="332">
        <f t="shared" si="25"/>
        <v>100</v>
      </c>
      <c r="S202" s="381"/>
      <c r="U202" s="381"/>
      <c r="V202" s="381"/>
      <c r="W202" s="381"/>
      <c r="X202" s="381"/>
      <c r="Y202" s="381"/>
      <c r="Z202" s="381"/>
      <c r="AA202" s="381"/>
      <c r="AB202" s="381"/>
      <c r="AC202" s="381"/>
      <c r="AD202" s="381"/>
      <c r="AE202" s="381"/>
      <c r="AF202" s="381"/>
      <c r="AG202" s="381"/>
      <c r="AH202" s="381"/>
      <c r="AI202" s="381"/>
      <c r="AJ202" s="381"/>
      <c r="AK202" s="381"/>
      <c r="AL202" s="381"/>
      <c r="AM202" s="381"/>
      <c r="AN202" s="381"/>
      <c r="AO202" s="381"/>
    </row>
    <row r="203" spans="1:41" ht="11.25" customHeight="1">
      <c r="B203" s="327"/>
      <c r="C203" s="327"/>
      <c r="D203" s="328"/>
      <c r="E203" s="327"/>
      <c r="F203" s="327"/>
      <c r="G203" s="335"/>
      <c r="H203" s="327"/>
      <c r="I203" s="333"/>
      <c r="J203" s="327"/>
      <c r="K203" s="327"/>
      <c r="L203" s="328"/>
      <c r="M203" s="327"/>
      <c r="N203" s="327"/>
      <c r="O203" s="335"/>
      <c r="P203" s="327"/>
      <c r="Q203" s="332">
        <f t="shared" si="24"/>
        <v>0</v>
      </c>
      <c r="R203" s="332">
        <f t="shared" si="25"/>
        <v>0</v>
      </c>
      <c r="S203" s="381"/>
      <c r="U203" s="381"/>
      <c r="V203" s="381"/>
      <c r="W203" s="381"/>
      <c r="X203" s="381"/>
      <c r="Y203" s="381"/>
      <c r="Z203" s="381"/>
      <c r="AA203" s="381"/>
      <c r="AB203" s="381"/>
      <c r="AC203" s="381"/>
      <c r="AD203" s="381"/>
      <c r="AE203" s="381"/>
      <c r="AF203" s="381"/>
      <c r="AG203" s="381"/>
      <c r="AH203" s="381"/>
      <c r="AI203" s="381"/>
      <c r="AJ203" s="381"/>
      <c r="AK203" s="381"/>
      <c r="AL203" s="381"/>
      <c r="AM203" s="381"/>
      <c r="AN203" s="381"/>
      <c r="AO203" s="381"/>
    </row>
    <row r="204" spans="1:41" ht="15.75" customHeight="1">
      <c r="A204" s="298" t="s">
        <v>833</v>
      </c>
      <c r="B204" s="327">
        <f>('Pivot Table for Data Exchange'!$H$295)*100</f>
        <v>0</v>
      </c>
      <c r="C204" s="327">
        <f>('Pivot Table for Data Exchange'!$H$298)*100</f>
        <v>0</v>
      </c>
      <c r="D204" s="328">
        <f>SUM(E204:G204)</f>
        <v>0</v>
      </c>
      <c r="E204" s="327">
        <f>('Pivot Table for Data Exchange'!$H$301)*100</f>
        <v>0</v>
      </c>
      <c r="F204" s="327">
        <f>('Pivot Table for Data Exchange'!$H$304)*100</f>
        <v>0</v>
      </c>
      <c r="G204" s="335">
        <f>('Pivot Table for Data Exchange'!$H$307)*100</f>
        <v>0</v>
      </c>
      <c r="H204" s="327">
        <f>('Pivot Table for Data Exchange'!$H$310)*100</f>
        <v>0</v>
      </c>
      <c r="I204" s="333" t="s">
        <v>833</v>
      </c>
      <c r="J204" s="327">
        <f>('Pivot Table for Data Exchange'!$H$313)*100</f>
        <v>0</v>
      </c>
      <c r="K204" s="327">
        <f>('Pivot Table for Data Exchange'!$H$316)*100</f>
        <v>0</v>
      </c>
      <c r="L204" s="328">
        <f>SUM(M204:O204)</f>
        <v>0</v>
      </c>
      <c r="M204" s="327">
        <f>('Pivot Table for Data Exchange'!$H$319)*100</f>
        <v>0</v>
      </c>
      <c r="N204" s="327">
        <f>('Pivot Table for Data Exchange'!$H$322)*100</f>
        <v>0</v>
      </c>
      <c r="O204" s="335">
        <f>('Pivot Table for Data Exchange'!$H$325)*100</f>
        <v>0</v>
      </c>
      <c r="P204" s="327">
        <f>('Pivot Table for Data Exchange'!$H$328)*100</f>
        <v>0</v>
      </c>
      <c r="Q204" s="332">
        <f t="shared" si="24"/>
        <v>0</v>
      </c>
      <c r="R204" s="332">
        <f t="shared" si="25"/>
        <v>0</v>
      </c>
      <c r="S204" s="381"/>
      <c r="T204" s="381"/>
      <c r="U204" s="381"/>
      <c r="V204" s="381"/>
      <c r="W204" s="381"/>
      <c r="X204" s="381"/>
      <c r="Y204" s="381"/>
      <c r="Z204" s="381"/>
      <c r="AA204" s="381"/>
      <c r="AB204" s="381"/>
      <c r="AC204" s="381"/>
      <c r="AD204" s="381"/>
      <c r="AE204" s="381"/>
      <c r="AF204" s="381"/>
      <c r="AG204" s="381"/>
      <c r="AH204" s="381"/>
      <c r="AI204" s="381"/>
      <c r="AJ204" s="381"/>
      <c r="AK204" s="381"/>
      <c r="AL204" s="381"/>
      <c r="AM204" s="381"/>
      <c r="AN204" s="381"/>
      <c r="AO204" s="381"/>
    </row>
    <row r="205" spans="1:41" ht="15.75" customHeight="1">
      <c r="A205" s="298" t="s">
        <v>834</v>
      </c>
      <c r="B205" s="327">
        <f>('Pivot Table for Data Exchange'!$H$331)*100</f>
        <v>92.338875670697249</v>
      </c>
      <c r="C205" s="327">
        <f>('Pivot Table for Data Exchange'!$H$334)*100</f>
        <v>0.35026269702276708</v>
      </c>
      <c r="D205" s="328">
        <f>SUM(E205:G205)</f>
        <v>7.3108616322799875</v>
      </c>
      <c r="E205" s="327">
        <f>('Pivot Table for Data Exchange'!$H$337)*100</f>
        <v>5.4151171147284769</v>
      </c>
      <c r="F205" s="327">
        <f>('Pivot Table for Data Exchange'!$H$340)*100</f>
        <v>1.8957445175515102</v>
      </c>
      <c r="G205" s="335">
        <f>('Pivot Table for Data Exchange'!$H$343)*100</f>
        <v>0</v>
      </c>
      <c r="H205" s="327">
        <f>('Pivot Table for Data Exchange'!$H$346)*100</f>
        <v>0</v>
      </c>
      <c r="I205" s="333" t="s">
        <v>834</v>
      </c>
      <c r="J205" s="327">
        <f>('Pivot Table for Data Exchange'!$H$349)*100</f>
        <v>83.673469387755105</v>
      </c>
      <c r="K205" s="327">
        <f>('Pivot Table for Data Exchange'!$H$352)*100</f>
        <v>0</v>
      </c>
      <c r="L205" s="328">
        <f>SUM(M205:O205)</f>
        <v>16.326530612244898</v>
      </c>
      <c r="M205" s="327">
        <f>('Pivot Table for Data Exchange'!$H$355)*100</f>
        <v>16.326530612244898</v>
      </c>
      <c r="N205" s="327">
        <f>('Pivot Table for Data Exchange'!$H$358)*100</f>
        <v>0</v>
      </c>
      <c r="O205" s="335">
        <f>('Pivot Table for Data Exchange'!$H$361)*100</f>
        <v>0</v>
      </c>
      <c r="P205" s="327">
        <f>('Pivot Table for Data Exchange'!$H$364)*100</f>
        <v>0</v>
      </c>
      <c r="Q205" s="332">
        <f t="shared" si="24"/>
        <v>100</v>
      </c>
      <c r="R205" s="332">
        <f t="shared" si="25"/>
        <v>100</v>
      </c>
      <c r="S205" s="381"/>
      <c r="T205" s="381"/>
      <c r="U205" s="381"/>
      <c r="V205" s="381"/>
      <c r="W205" s="381"/>
      <c r="X205" s="381"/>
      <c r="Y205" s="381"/>
      <c r="Z205" s="381"/>
      <c r="AA205" s="381"/>
      <c r="AB205" s="381"/>
      <c r="AC205" s="381"/>
      <c r="AD205" s="381"/>
      <c r="AE205" s="381"/>
      <c r="AF205" s="381"/>
      <c r="AG205" s="381"/>
      <c r="AH205" s="381"/>
      <c r="AI205" s="381"/>
      <c r="AJ205" s="381"/>
      <c r="AK205" s="381"/>
      <c r="AL205" s="381"/>
      <c r="AM205" s="381"/>
      <c r="AN205" s="381"/>
      <c r="AO205" s="381"/>
    </row>
    <row r="206" spans="1:41" ht="15.75" customHeight="1">
      <c r="A206" s="298" t="s">
        <v>835</v>
      </c>
      <c r="B206" s="327">
        <f>('Pivot Table for Data Exchange'!$H$367)*100</f>
        <v>74.092695330559408</v>
      </c>
      <c r="C206" s="327">
        <f>('Pivot Table for Data Exchange'!$H$370)*100</f>
        <v>2.3838418862690707E-2</v>
      </c>
      <c r="D206" s="328">
        <f>SUM(E206:G206)</f>
        <v>25.8834662505779</v>
      </c>
      <c r="E206" s="327">
        <f>('Pivot Table for Data Exchange'!$H$373)*100</f>
        <v>24.698046694405917</v>
      </c>
      <c r="F206" s="327">
        <f>('Pivot Table for Data Exchange'!$H$376)*100</f>
        <v>1.1854195561719834</v>
      </c>
      <c r="G206" s="335">
        <f>('Pivot Table for Data Exchange'!$H$379)*100</f>
        <v>0</v>
      </c>
      <c r="H206" s="327">
        <f>('Pivot Table for Data Exchange'!$H$382)*100</f>
        <v>0</v>
      </c>
      <c r="I206" s="333" t="s">
        <v>835</v>
      </c>
      <c r="J206" s="327">
        <f>('Pivot Table for Data Exchange'!$H$385)*100</f>
        <v>94.77124183006535</v>
      </c>
      <c r="K206" s="327">
        <f>('Pivot Table for Data Exchange'!$H$388)*100</f>
        <v>0</v>
      </c>
      <c r="L206" s="328">
        <f>SUM(M206:O206)</f>
        <v>5.2287581699346406</v>
      </c>
      <c r="M206" s="327">
        <f>('Pivot Table for Data Exchange'!$H$391)*100</f>
        <v>5.2287581699346406</v>
      </c>
      <c r="N206" s="327">
        <f>('Pivot Table for Data Exchange'!$H$394)*100</f>
        <v>0</v>
      </c>
      <c r="O206" s="335">
        <f>('Pivot Table for Data Exchange'!$H$397)*100</f>
        <v>0</v>
      </c>
      <c r="P206" s="327">
        <f>('Pivot Table for Data Exchange'!$H$400)*100</f>
        <v>0</v>
      </c>
      <c r="Q206" s="332">
        <f t="shared" si="24"/>
        <v>100</v>
      </c>
      <c r="R206" s="332">
        <f t="shared" si="25"/>
        <v>99.999999999999986</v>
      </c>
      <c r="S206" s="381"/>
      <c r="T206" s="385"/>
      <c r="U206" s="381"/>
      <c r="V206" s="381"/>
      <c r="W206" s="381"/>
      <c r="X206" s="381"/>
      <c r="Y206" s="381"/>
      <c r="Z206" s="381"/>
      <c r="AA206" s="381"/>
      <c r="AB206" s="381"/>
      <c r="AC206" s="381"/>
      <c r="AD206" s="381"/>
      <c r="AE206" s="381"/>
      <c r="AF206" s="381"/>
      <c r="AG206" s="381"/>
      <c r="AH206" s="381"/>
      <c r="AI206" s="381"/>
      <c r="AJ206" s="381"/>
      <c r="AK206" s="381"/>
      <c r="AL206" s="381"/>
      <c r="AM206" s="381"/>
      <c r="AN206" s="381"/>
      <c r="AO206" s="381"/>
    </row>
    <row r="207" spans="1:41" ht="15.75" customHeight="1">
      <c r="A207" s="298" t="s">
        <v>836</v>
      </c>
      <c r="B207" s="327">
        <f>('Pivot Table for Data Exchange'!$H$403)*100</f>
        <v>75.044143763968236</v>
      </c>
      <c r="C207" s="327">
        <f>('Pivot Table for Data Exchange'!$H$406)*100</f>
        <v>3.8239655060309623</v>
      </c>
      <c r="D207" s="328">
        <f>SUM(E207:G207)</f>
        <v>21.131890730000801</v>
      </c>
      <c r="E207" s="327">
        <f>('Pivot Table for Data Exchange'!$H$409)*100</f>
        <v>21.131890730000801</v>
      </c>
      <c r="F207" s="327">
        <f>('Pivot Table for Data Exchange'!$H$412)*100</f>
        <v>0</v>
      </c>
      <c r="G207" s="334">
        <f>('Pivot Table for Data Exchange'!$H$415)*100</f>
        <v>0</v>
      </c>
      <c r="H207" s="327">
        <f>('Pivot Table for Data Exchange'!$H$418)*100</f>
        <v>0</v>
      </c>
      <c r="I207" s="333" t="s">
        <v>836</v>
      </c>
      <c r="J207" s="327">
        <f>('Pivot Table for Data Exchange'!$H$421)*100</f>
        <v>25.06177924217463</v>
      </c>
      <c r="K207" s="327">
        <f>('Pivot Table for Data Exchange'!$H$424)*100</f>
        <v>0.37067545304777594</v>
      </c>
      <c r="L207" s="328">
        <f>SUM(M207:O207)</f>
        <v>74.567545304777596</v>
      </c>
      <c r="M207" s="327">
        <f>('Pivot Table for Data Exchange'!$H$427)*100</f>
        <v>74.567545304777596</v>
      </c>
      <c r="N207" s="327">
        <f>('Pivot Table for Data Exchange'!$H$430)*100</f>
        <v>0</v>
      </c>
      <c r="O207" s="335">
        <f>('Pivot Table for Data Exchange'!$H$433)*100</f>
        <v>0</v>
      </c>
      <c r="P207" s="327">
        <f>('Pivot Table for Data Exchange'!$H$436)*100</f>
        <v>0</v>
      </c>
      <c r="Q207" s="332">
        <f t="shared" si="24"/>
        <v>100</v>
      </c>
      <c r="R207" s="332">
        <f t="shared" si="25"/>
        <v>100</v>
      </c>
      <c r="S207" s="381"/>
      <c r="T207" s="381"/>
      <c r="U207" s="381"/>
      <c r="V207" s="381"/>
      <c r="W207" s="381"/>
      <c r="X207" s="381"/>
      <c r="Y207" s="381"/>
      <c r="Z207" s="381"/>
      <c r="AA207" s="381"/>
      <c r="AB207" s="381"/>
      <c r="AC207" s="381"/>
      <c r="AD207" s="381"/>
      <c r="AE207" s="381"/>
      <c r="AF207" s="381"/>
      <c r="AG207" s="381"/>
      <c r="AH207" s="381"/>
      <c r="AI207" s="381"/>
      <c r="AJ207" s="381"/>
      <c r="AK207" s="381"/>
      <c r="AL207" s="381"/>
      <c r="AM207" s="381"/>
      <c r="AN207" s="381"/>
      <c r="AO207" s="381"/>
    </row>
    <row r="208" spans="1:41" ht="11.25" customHeight="1">
      <c r="B208" s="327"/>
      <c r="C208" s="327"/>
      <c r="D208" s="328"/>
      <c r="E208" s="327"/>
      <c r="F208" s="327"/>
      <c r="G208" s="335"/>
      <c r="H208" s="327"/>
      <c r="I208" s="333"/>
      <c r="J208" s="327"/>
      <c r="K208" s="327"/>
      <c r="L208" s="328"/>
      <c r="M208" s="327"/>
      <c r="N208" s="327"/>
      <c r="O208" s="335"/>
      <c r="P208" s="327"/>
      <c r="Q208" s="332">
        <f t="shared" si="24"/>
        <v>0</v>
      </c>
      <c r="R208" s="332">
        <f t="shared" si="25"/>
        <v>0</v>
      </c>
      <c r="S208" s="381"/>
      <c r="T208" s="381"/>
      <c r="U208" s="381"/>
      <c r="V208" s="381"/>
      <c r="W208" s="381"/>
      <c r="X208" s="381"/>
      <c r="Y208" s="381"/>
      <c r="Z208" s="381"/>
      <c r="AA208" s="381"/>
      <c r="AB208" s="381"/>
      <c r="AC208" s="381"/>
      <c r="AD208" s="381"/>
      <c r="AE208" s="381"/>
      <c r="AF208" s="381"/>
      <c r="AG208" s="381"/>
      <c r="AH208" s="381"/>
      <c r="AI208" s="381"/>
      <c r="AJ208" s="381"/>
      <c r="AK208" s="381"/>
      <c r="AL208" s="381"/>
      <c r="AM208" s="381"/>
      <c r="AN208" s="381"/>
      <c r="AO208" s="381"/>
    </row>
    <row r="209" spans="1:41" ht="15.75" customHeight="1">
      <c r="A209" s="298" t="s">
        <v>837</v>
      </c>
      <c r="B209" s="327">
        <f>('Pivot Table for Data Exchange'!$H$439)*100</f>
        <v>0</v>
      </c>
      <c r="C209" s="327">
        <f>('Pivot Table for Data Exchange'!$H$442)*100</f>
        <v>0</v>
      </c>
      <c r="D209" s="328">
        <f>SUM(E209:G209)</f>
        <v>0</v>
      </c>
      <c r="E209" s="327">
        <f>('Pivot Table for Data Exchange'!$H$445)*100</f>
        <v>0</v>
      </c>
      <c r="F209" s="327">
        <f>('Pivot Table for Data Exchange'!$H$448)*100</f>
        <v>0</v>
      </c>
      <c r="G209" s="335">
        <f>('Pivot Table for Data Exchange'!$H$451)*100</f>
        <v>0</v>
      </c>
      <c r="H209" s="327">
        <f>('Pivot Table for Data Exchange'!$H$454)*100</f>
        <v>0</v>
      </c>
      <c r="I209" s="333" t="s">
        <v>837</v>
      </c>
      <c r="J209" s="327">
        <f>('Pivot Table for Data Exchange'!$H$457)*100</f>
        <v>0</v>
      </c>
      <c r="K209" s="327">
        <f>('Pivot Table for Data Exchange'!$H$460)*100</f>
        <v>0</v>
      </c>
      <c r="L209" s="328">
        <f>SUM(M209:O209)</f>
        <v>0</v>
      </c>
      <c r="M209" s="327">
        <f>('Pivot Table for Data Exchange'!$H$463)*100</f>
        <v>0</v>
      </c>
      <c r="N209" s="327">
        <f>('Pivot Table for Data Exchange'!$H$466)*100</f>
        <v>0</v>
      </c>
      <c r="O209" s="335">
        <f>('Pivot Table for Data Exchange'!$H$469)*100</f>
        <v>0</v>
      </c>
      <c r="P209" s="327">
        <f>('Pivot Table for Data Exchange'!$H$472)*100</f>
        <v>0</v>
      </c>
      <c r="Q209" s="332">
        <f t="shared" si="24"/>
        <v>0</v>
      </c>
      <c r="R209" s="332">
        <f t="shared" si="25"/>
        <v>0</v>
      </c>
      <c r="S209" s="381"/>
      <c r="T209" s="381"/>
      <c r="U209" s="381"/>
      <c r="V209" s="381"/>
      <c r="W209" s="381"/>
      <c r="X209" s="381"/>
      <c r="Y209" s="381"/>
      <c r="Z209" s="381"/>
      <c r="AA209" s="381"/>
      <c r="AB209" s="381"/>
      <c r="AC209" s="381"/>
      <c r="AD209" s="381"/>
      <c r="AE209" s="381"/>
      <c r="AF209" s="381"/>
      <c r="AG209" s="381"/>
      <c r="AH209" s="381"/>
      <c r="AI209" s="381"/>
      <c r="AJ209" s="381"/>
      <c r="AK209" s="381"/>
      <c r="AL209" s="381"/>
      <c r="AM209" s="381"/>
      <c r="AN209" s="381"/>
      <c r="AO209" s="381"/>
    </row>
    <row r="210" spans="1:41" ht="15.75" customHeight="1">
      <c r="A210" s="298" t="s">
        <v>838</v>
      </c>
      <c r="B210" s="327">
        <f>('Pivot Table for Data Exchange'!$H$475)*100</f>
        <v>0</v>
      </c>
      <c r="C210" s="327">
        <f>('Pivot Table for Data Exchange'!$H$478)*100</f>
        <v>0</v>
      </c>
      <c r="D210" s="328">
        <f>SUM(E210:G210)</f>
        <v>0</v>
      </c>
      <c r="E210" s="327">
        <f>('Pivot Table for Data Exchange'!$H$481)*100</f>
        <v>0</v>
      </c>
      <c r="F210" s="327">
        <f>('Pivot Table for Data Exchange'!$H$484)*100</f>
        <v>0</v>
      </c>
      <c r="G210" s="334">
        <f>('Pivot Table for Data Exchange'!$H$487)*100</f>
        <v>0</v>
      </c>
      <c r="H210" s="327">
        <f>('Pivot Table for Data Exchange'!$H$490)*100</f>
        <v>0</v>
      </c>
      <c r="I210" s="333" t="s">
        <v>838</v>
      </c>
      <c r="J210" s="327">
        <f>('Pivot Table for Data Exchange'!$H$493)*100</f>
        <v>0</v>
      </c>
      <c r="K210" s="327">
        <f>('Pivot Table for Data Exchange'!$H$496)*100</f>
        <v>0</v>
      </c>
      <c r="L210" s="328">
        <f>SUM(M210:O210)</f>
        <v>0</v>
      </c>
      <c r="M210" s="327">
        <f>('Pivot Table for Data Exchange'!$H$499)*100</f>
        <v>0</v>
      </c>
      <c r="N210" s="327">
        <f>('Pivot Table for Data Exchange'!$H$502)*100</f>
        <v>0</v>
      </c>
      <c r="O210" s="335">
        <f>('Pivot Table for Data Exchange'!$H$505)*100</f>
        <v>0</v>
      </c>
      <c r="P210" s="327">
        <f>('Pivot Table for Data Exchange'!$H$508)*100</f>
        <v>0</v>
      </c>
      <c r="Q210" s="332">
        <f t="shared" si="24"/>
        <v>0</v>
      </c>
      <c r="R210" s="332">
        <f t="shared" si="25"/>
        <v>0</v>
      </c>
      <c r="S210" s="381"/>
      <c r="T210" s="381"/>
      <c r="U210" s="381"/>
      <c r="V210" s="381"/>
      <c r="W210" s="381"/>
      <c r="X210" s="381"/>
      <c r="Y210" s="381"/>
      <c r="Z210" s="381"/>
      <c r="AA210" s="381"/>
      <c r="AB210" s="381"/>
      <c r="AC210" s="381"/>
      <c r="AD210" s="381"/>
      <c r="AE210" s="381"/>
      <c r="AF210" s="381"/>
      <c r="AG210" s="381"/>
      <c r="AH210" s="381"/>
      <c r="AI210" s="381"/>
      <c r="AJ210" s="381"/>
      <c r="AK210" s="381"/>
      <c r="AL210" s="381"/>
      <c r="AM210" s="381"/>
      <c r="AN210" s="381"/>
      <c r="AO210" s="381"/>
    </row>
    <row r="211" spans="1:41" ht="15.75" customHeight="1">
      <c r="A211" s="298" t="s">
        <v>839</v>
      </c>
      <c r="B211" s="327">
        <f>('Pivot Table for Data Exchange'!$H$511)*100</f>
        <v>75.147290502190472</v>
      </c>
      <c r="C211" s="327">
        <f>('Pivot Table for Data Exchange'!$H$514)*100</f>
        <v>0</v>
      </c>
      <c r="D211" s="328">
        <f>SUM(E211:G211)</f>
        <v>24.852709497809524</v>
      </c>
      <c r="E211" s="327">
        <f>('Pivot Table for Data Exchange'!$H$517)*100</f>
        <v>24.852709497809524</v>
      </c>
      <c r="F211" s="327">
        <f>('Pivot Table for Data Exchange'!$H$520)*100</f>
        <v>0</v>
      </c>
      <c r="G211" s="335">
        <f>('Pivot Table for Data Exchange'!$H$523)*100</f>
        <v>0</v>
      </c>
      <c r="H211" s="327">
        <f>('Pivot Table for Data Exchange'!$H$526)*100</f>
        <v>0</v>
      </c>
      <c r="I211" s="333" t="s">
        <v>839</v>
      </c>
      <c r="J211" s="327">
        <f>('Pivot Table for Data Exchange'!$H$529)*100</f>
        <v>0</v>
      </c>
      <c r="K211" s="327">
        <f>('Pivot Table for Data Exchange'!$H$532)*100</f>
        <v>0</v>
      </c>
      <c r="L211" s="328">
        <f>SUM(M211:O211)</f>
        <v>0</v>
      </c>
      <c r="M211" s="327">
        <f>('Pivot Table for Data Exchange'!$H$535)*100</f>
        <v>0</v>
      </c>
      <c r="N211" s="327">
        <f>('Pivot Table for Data Exchange'!$H$538)*100</f>
        <v>0</v>
      </c>
      <c r="O211" s="335">
        <f>('Pivot Table for Data Exchange'!$H$541)*100</f>
        <v>0</v>
      </c>
      <c r="P211" s="327">
        <f>('Pivot Table for Data Exchange'!$H$544)*100</f>
        <v>0</v>
      </c>
      <c r="Q211" s="332">
        <f t="shared" si="24"/>
        <v>100</v>
      </c>
      <c r="R211" s="332">
        <f t="shared" si="25"/>
        <v>0</v>
      </c>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1"/>
      <c r="AO211" s="381"/>
    </row>
    <row r="212" spans="1:41" ht="15.75" customHeight="1">
      <c r="A212" s="304" t="s">
        <v>840</v>
      </c>
      <c r="B212" s="340">
        <f>('Pivot Table for Data Exchange'!$H$547)*100</f>
        <v>59.485954454798474</v>
      </c>
      <c r="C212" s="340">
        <f>('Pivot Table for Data Exchange'!$H$550)*100</f>
        <v>12.432532930690614</v>
      </c>
      <c r="D212" s="341">
        <f>SUM(E212:G212)</f>
        <v>28.08151261451091</v>
      </c>
      <c r="E212" s="340">
        <f>('Pivot Table for Data Exchange'!$H$553)*100</f>
        <v>27.613891173786154</v>
      </c>
      <c r="F212" s="340">
        <f>('Pivot Table for Data Exchange'!$H$556)*100</f>
        <v>0.46762144072475686</v>
      </c>
      <c r="G212" s="363">
        <f>('Pivot Table for Data Exchange'!$H$559)*100</f>
        <v>0</v>
      </c>
      <c r="H212" s="340">
        <f>('Pivot Table for Data Exchange'!$H$562)*100</f>
        <v>0</v>
      </c>
      <c r="I212" s="343" t="s">
        <v>840</v>
      </c>
      <c r="J212" s="340">
        <f>('Pivot Table for Data Exchange'!$H$565)*100</f>
        <v>70.963541666666657</v>
      </c>
      <c r="K212" s="340">
        <f>('Pivot Table for Data Exchange'!$H$568)*100</f>
        <v>0.13020833333333331</v>
      </c>
      <c r="L212" s="341">
        <f>SUM(M212:O212)</f>
        <v>28.90625</v>
      </c>
      <c r="M212" s="340">
        <f>('Pivot Table for Data Exchange'!$H$571)*100</f>
        <v>28.90625</v>
      </c>
      <c r="N212" s="340">
        <f>('Pivot Table for Data Exchange'!$H$574)*100</f>
        <v>0</v>
      </c>
      <c r="O212" s="342">
        <f>('Pivot Table for Data Exchange'!$H$577)*100</f>
        <v>0</v>
      </c>
      <c r="P212" s="340">
        <f>('Pivot Table for Data Exchange'!$H$580)*100</f>
        <v>0</v>
      </c>
      <c r="Q212" s="332">
        <f t="shared" si="24"/>
        <v>100</v>
      </c>
      <c r="R212" s="332">
        <f t="shared" si="25"/>
        <v>99.999999999999986</v>
      </c>
      <c r="S212" s="381"/>
      <c r="T212" s="381"/>
      <c r="U212" s="381"/>
      <c r="V212" s="381"/>
      <c r="W212" s="381"/>
      <c r="X212" s="381"/>
      <c r="Y212" s="381"/>
      <c r="Z212" s="381"/>
      <c r="AA212" s="381"/>
      <c r="AB212" s="381"/>
      <c r="AC212" s="381"/>
      <c r="AD212" s="381"/>
      <c r="AE212" s="381"/>
      <c r="AF212" s="381"/>
      <c r="AG212" s="381"/>
      <c r="AH212" s="381"/>
      <c r="AI212" s="381"/>
      <c r="AJ212" s="381"/>
      <c r="AK212" s="381"/>
      <c r="AL212" s="381"/>
      <c r="AM212" s="381"/>
      <c r="AN212" s="381"/>
      <c r="AO212" s="381"/>
    </row>
    <row r="213" spans="1:41" s="371" customFormat="1" ht="13.5" customHeight="1">
      <c r="A213" s="346" t="s">
        <v>866</v>
      </c>
      <c r="B213" s="347"/>
      <c r="C213" s="347"/>
      <c r="D213" s="348"/>
      <c r="E213" s="347"/>
      <c r="F213" s="348"/>
      <c r="G213" s="348"/>
      <c r="H213" s="347"/>
      <c r="I213" s="346" t="s">
        <v>866</v>
      </c>
      <c r="J213" s="347"/>
      <c r="K213" s="347"/>
      <c r="L213" s="348"/>
      <c r="M213" s="347"/>
      <c r="N213" s="348"/>
      <c r="O213" s="348"/>
      <c r="P213" s="347"/>
      <c r="Q213" s="332">
        <f t="shared" si="24"/>
        <v>0</v>
      </c>
      <c r="R213" s="332">
        <f t="shared" si="25"/>
        <v>0</v>
      </c>
      <c r="S213" s="384"/>
      <c r="T213" s="384"/>
      <c r="U213" s="384"/>
      <c r="V213" s="384"/>
      <c r="W213" s="384"/>
      <c r="X213" s="384"/>
      <c r="Y213" s="384"/>
      <c r="Z213" s="384"/>
      <c r="AA213" s="384"/>
      <c r="AB213" s="384"/>
      <c r="AC213" s="384"/>
      <c r="AD213" s="384"/>
      <c r="AE213" s="384"/>
      <c r="AF213" s="384"/>
      <c r="AG213" s="384"/>
      <c r="AH213" s="384"/>
      <c r="AI213" s="384"/>
      <c r="AJ213" s="384"/>
      <c r="AK213" s="384"/>
      <c r="AL213" s="384"/>
      <c r="AM213" s="384"/>
      <c r="AN213" s="384"/>
      <c r="AO213" s="384"/>
    </row>
    <row r="214" spans="1:41" s="371" customFormat="1" ht="23.25" customHeight="1">
      <c r="A214" s="455" t="s">
        <v>872</v>
      </c>
      <c r="B214" s="456"/>
      <c r="C214" s="456"/>
      <c r="D214" s="456"/>
      <c r="E214" s="456"/>
      <c r="F214" s="456"/>
      <c r="G214" s="456"/>
      <c r="H214" s="456"/>
      <c r="I214" s="455"/>
      <c r="J214" s="456"/>
      <c r="K214" s="456"/>
      <c r="L214" s="456"/>
      <c r="M214" s="456"/>
      <c r="N214" s="456"/>
      <c r="O214" s="456"/>
      <c r="P214" s="456"/>
      <c r="Q214" s="332">
        <f t="shared" si="24"/>
        <v>0</v>
      </c>
      <c r="R214" s="332">
        <f t="shared" si="25"/>
        <v>0</v>
      </c>
    </row>
    <row r="215" spans="1:41" s="371" customFormat="1" ht="10.5" customHeight="1">
      <c r="A215" s="350"/>
      <c r="B215" s="359"/>
      <c r="C215" s="359"/>
      <c r="D215" s="359"/>
      <c r="E215" s="359"/>
      <c r="F215" s="359"/>
      <c r="G215" s="359"/>
      <c r="H215" s="359"/>
      <c r="I215" s="350"/>
      <c r="J215" s="359"/>
      <c r="K215" s="359"/>
      <c r="L215" s="359"/>
      <c r="M215" s="359"/>
      <c r="N215" s="359"/>
      <c r="O215" s="359"/>
      <c r="P215" s="359"/>
      <c r="Q215" s="332">
        <f t="shared" si="24"/>
        <v>0</v>
      </c>
      <c r="R215" s="332">
        <f t="shared" si="25"/>
        <v>0</v>
      </c>
    </row>
    <row r="216" spans="1:41" s="371" customFormat="1">
      <c r="A216" s="345"/>
      <c r="B216" s="345"/>
      <c r="C216" s="345"/>
      <c r="D216" s="345"/>
      <c r="E216" s="345"/>
      <c r="F216" s="345"/>
      <c r="G216" s="345"/>
      <c r="H216" s="351" t="s">
        <v>980</v>
      </c>
      <c r="I216" s="345"/>
      <c r="J216" s="345"/>
      <c r="K216" s="345"/>
      <c r="L216" s="345"/>
      <c r="M216" s="345"/>
      <c r="N216" s="345"/>
      <c r="O216" s="345"/>
      <c r="P216" s="351" t="s">
        <v>980</v>
      </c>
      <c r="Q216" s="332">
        <f t="shared" si="24"/>
        <v>0</v>
      </c>
      <c r="R216" s="332">
        <f t="shared" si="25"/>
        <v>0</v>
      </c>
    </row>
    <row r="217" spans="1:41" ht="18">
      <c r="A217" s="293" t="s">
        <v>879</v>
      </c>
      <c r="B217" s="294"/>
      <c r="C217" s="294"/>
      <c r="D217" s="294"/>
      <c r="E217" s="294"/>
      <c r="F217" s="294"/>
      <c r="G217" s="294"/>
      <c r="H217" s="294"/>
      <c r="I217" s="298"/>
      <c r="Q217" s="332">
        <f>SUM(B217,C217,D217,H217)</f>
        <v>0</v>
      </c>
    </row>
    <row r="218" spans="1:41">
      <c r="A218" s="299"/>
      <c r="B218" s="295"/>
      <c r="C218" s="295"/>
      <c r="D218" s="295"/>
      <c r="E218" s="295"/>
      <c r="F218" s="295"/>
      <c r="G218" s="295"/>
      <c r="H218" s="295"/>
      <c r="I218" s="298"/>
      <c r="Q218" s="332">
        <f t="shared" ref="Q218:Q281" si="34">SUM(B218,C218,D218,H218)</f>
        <v>0</v>
      </c>
    </row>
    <row r="219" spans="1:41" ht="15.75">
      <c r="A219" s="301" t="s">
        <v>846</v>
      </c>
      <c r="B219" s="295"/>
      <c r="C219" s="295"/>
      <c r="D219" s="295"/>
      <c r="E219" s="295"/>
      <c r="F219" s="295"/>
      <c r="G219" s="295"/>
      <c r="H219" s="295"/>
      <c r="L219" s="295"/>
      <c r="Q219" s="332">
        <f t="shared" si="34"/>
        <v>0</v>
      </c>
    </row>
    <row r="220" spans="1:41" ht="15.75">
      <c r="A220" s="301" t="s">
        <v>988</v>
      </c>
      <c r="B220" s="295"/>
      <c r="C220" s="295"/>
      <c r="D220" s="295"/>
      <c r="E220" s="295"/>
      <c r="F220" s="295"/>
      <c r="G220" s="295"/>
      <c r="H220" s="295"/>
      <c r="Q220" s="332">
        <f t="shared" si="34"/>
        <v>0</v>
      </c>
    </row>
    <row r="221" spans="1:41">
      <c r="A221" s="304"/>
      <c r="B221" s="305"/>
      <c r="C221" s="305"/>
      <c r="D221" s="305"/>
      <c r="E221" s="305"/>
      <c r="F221" s="305"/>
      <c r="G221" s="305"/>
      <c r="H221" s="305"/>
      <c r="Q221" s="332">
        <f t="shared" si="34"/>
        <v>0</v>
      </c>
    </row>
    <row r="222" spans="1:41">
      <c r="A222" s="309"/>
      <c r="B222" s="310" t="s">
        <v>848</v>
      </c>
      <c r="C222" s="310"/>
      <c r="D222" s="310"/>
      <c r="E222" s="310"/>
      <c r="F222" s="310"/>
      <c r="G222" s="310"/>
      <c r="H222" s="311"/>
      <c r="Q222" s="332">
        <f t="shared" si="34"/>
        <v>0</v>
      </c>
    </row>
    <row r="223" spans="1:41">
      <c r="A223" s="309"/>
      <c r="B223" s="310" t="s">
        <v>849</v>
      </c>
      <c r="C223" s="310"/>
      <c r="D223" s="450" t="s">
        <v>850</v>
      </c>
      <c r="E223" s="448"/>
      <c r="F223" s="448"/>
      <c r="G223" s="448"/>
      <c r="H223" s="317" t="s">
        <v>740</v>
      </c>
      <c r="Q223" s="332">
        <f t="shared" si="34"/>
        <v>0</v>
      </c>
    </row>
    <row r="224" spans="1:41" ht="36">
      <c r="A224" s="309"/>
      <c r="B224" s="318" t="s">
        <v>851</v>
      </c>
      <c r="C224" s="319" t="s">
        <v>852</v>
      </c>
      <c r="D224" s="320" t="s">
        <v>853</v>
      </c>
      <c r="E224" s="321" t="s">
        <v>8</v>
      </c>
      <c r="F224" s="318" t="s">
        <v>854</v>
      </c>
      <c r="G224" s="322" t="s">
        <v>864</v>
      </c>
      <c r="H224" s="323" t="s">
        <v>856</v>
      </c>
      <c r="I224" s="352"/>
      <c r="J224" s="314"/>
      <c r="K224" s="314"/>
      <c r="L224" s="314"/>
      <c r="M224" s="314"/>
      <c r="N224" s="314"/>
      <c r="O224" s="314"/>
      <c r="Q224" s="332">
        <f t="shared" si="34"/>
        <v>0</v>
      </c>
    </row>
    <row r="225" spans="1:41" ht="15.75" customHeight="1">
      <c r="A225" s="353" t="s">
        <v>825</v>
      </c>
      <c r="B225" s="380">
        <f>('Pivot Table for Data Exchange'!$O$7)*100</f>
        <v>67.606702516239736</v>
      </c>
      <c r="C225" s="327">
        <f>('Pivot Table for Data Exchange'!$O$10)*100</f>
        <v>5.7844963841378885</v>
      </c>
      <c r="D225" s="328">
        <f>SUM(E225:G225)</f>
        <v>26.408420234699911</v>
      </c>
      <c r="E225" s="327">
        <f>('Pivot Table for Data Exchange'!$O$13)*100</f>
        <v>26.083125093818154</v>
      </c>
      <c r="F225" s="327">
        <f>('Pivot Table for Data Exchange'!$O$16)*100</f>
        <v>0.3252951408817582</v>
      </c>
      <c r="G225" s="331">
        <f>('Pivot Table for Data Exchange'!$O$19)*100</f>
        <v>0</v>
      </c>
      <c r="H225" s="327">
        <f>('Pivot Table for Data Exchange'!$O$22)*100</f>
        <v>0.20038086492245835</v>
      </c>
      <c r="I225" s="365"/>
      <c r="J225" s="365"/>
      <c r="K225" s="365"/>
      <c r="L225" s="365"/>
      <c r="M225" s="365"/>
      <c r="N225" s="365"/>
      <c r="O225" s="365"/>
      <c r="P225" s="366"/>
      <c r="Q225" s="332">
        <f t="shared" si="34"/>
        <v>100</v>
      </c>
      <c r="R225" s="332"/>
      <c r="Z225" s="381"/>
      <c r="AA225" s="381"/>
      <c r="AB225" s="381"/>
      <c r="AC225" s="381"/>
      <c r="AD225" s="381"/>
      <c r="AE225" s="381"/>
      <c r="AF225" s="381"/>
      <c r="AG225" s="381"/>
      <c r="AH225" s="381"/>
      <c r="AI225" s="381"/>
      <c r="AJ225" s="381"/>
      <c r="AK225" s="381"/>
      <c r="AL225" s="381"/>
      <c r="AM225" s="381"/>
      <c r="AN225" s="381"/>
      <c r="AO225" s="381"/>
    </row>
    <row r="226" spans="1:41" ht="15.75" customHeight="1">
      <c r="A226" s="298" t="s">
        <v>826</v>
      </c>
      <c r="B226" s="327">
        <f>('Pivot Table for Data Exchange'!$O$43)*100</f>
        <v>61.306314086631218</v>
      </c>
      <c r="C226" s="327">
        <f>('Pivot Table for Data Exchange'!$O$46)*100</f>
        <v>11.162237650290258</v>
      </c>
      <c r="D226" s="328">
        <f t="shared" ref="D226:D228" si="35">SUM(E226:G226)</f>
        <v>27.371573971875605</v>
      </c>
      <c r="E226" s="327">
        <f>('Pivot Table for Data Exchange'!$O$49)*100</f>
        <v>26.298478350619696</v>
      </c>
      <c r="F226" s="327">
        <f>('Pivot Table for Data Exchange'!$O$52)*100</f>
        <v>1.0730956212559084</v>
      </c>
      <c r="G226" s="338">
        <f>('Pivot Table for Data Exchange'!$O$55)*100</f>
        <v>0</v>
      </c>
      <c r="H226" s="336">
        <f>('Pivot Table for Data Exchange'!$O$58)*100</f>
        <v>0.15987429120291186</v>
      </c>
      <c r="I226" s="365"/>
      <c r="J226" s="365"/>
      <c r="K226" s="365"/>
      <c r="L226" s="365"/>
      <c r="M226" s="365"/>
      <c r="N226" s="365"/>
      <c r="O226" s="365"/>
      <c r="P226" s="366"/>
      <c r="Q226" s="332">
        <f t="shared" si="34"/>
        <v>100</v>
      </c>
      <c r="R226" s="332"/>
      <c r="Z226" s="381"/>
      <c r="AA226" s="381"/>
      <c r="AB226" s="381"/>
      <c r="AC226" s="381"/>
      <c r="AD226" s="381"/>
      <c r="AE226" s="381"/>
      <c r="AF226" s="381"/>
      <c r="AG226" s="381"/>
      <c r="AH226" s="381"/>
      <c r="AI226" s="381"/>
      <c r="AJ226" s="381"/>
      <c r="AK226" s="381"/>
      <c r="AL226" s="381"/>
      <c r="AM226" s="381"/>
      <c r="AN226" s="381"/>
      <c r="AO226" s="381"/>
    </row>
    <row r="227" spans="1:41" ht="15.75" customHeight="1">
      <c r="A227" s="298" t="s">
        <v>827</v>
      </c>
      <c r="B227" s="327">
        <f>('Pivot Table for Data Exchange'!$O$79)*100</f>
        <v>80.386420543015547</v>
      </c>
      <c r="C227" s="327">
        <f>('Pivot Table for Data Exchange'!$O$82)*100</f>
        <v>0</v>
      </c>
      <c r="D227" s="328">
        <f t="shared" si="35"/>
        <v>19.613579456984453</v>
      </c>
      <c r="E227" s="327">
        <f>('Pivot Table for Data Exchange'!$O$85)*100</f>
        <v>19.027365290943454</v>
      </c>
      <c r="F227" s="327">
        <f>('Pivot Table for Data Exchange'!$O$88)*100</f>
        <v>0.38020704270671907</v>
      </c>
      <c r="G227" s="335">
        <f>('Pivot Table for Data Exchange'!$O$91)*100</f>
        <v>0.20600712333428262</v>
      </c>
      <c r="H227" s="327">
        <f>('Pivot Table for Data Exchange'!$O$94)*100</f>
        <v>0</v>
      </c>
      <c r="I227" s="365"/>
      <c r="J227" s="365"/>
      <c r="K227" s="365"/>
      <c r="L227" s="365"/>
      <c r="M227" s="365"/>
      <c r="N227" s="365"/>
      <c r="O227" s="365"/>
      <c r="P227" s="366"/>
      <c r="Q227" s="332">
        <f t="shared" si="34"/>
        <v>100</v>
      </c>
      <c r="R227" s="332"/>
      <c r="Z227" s="381"/>
      <c r="AA227" s="381"/>
      <c r="AB227" s="381"/>
      <c r="AC227" s="381"/>
      <c r="AD227" s="381"/>
      <c r="AE227" s="381"/>
      <c r="AF227" s="381"/>
      <c r="AG227" s="381"/>
      <c r="AH227" s="381"/>
      <c r="AI227" s="381"/>
      <c r="AJ227" s="381"/>
      <c r="AK227" s="381"/>
      <c r="AL227" s="381"/>
      <c r="AM227" s="381"/>
      <c r="AN227" s="381"/>
      <c r="AO227" s="381"/>
    </row>
    <row r="228" spans="1:41" ht="15.75" customHeight="1">
      <c r="A228" s="298" t="s">
        <v>865</v>
      </c>
      <c r="B228" s="327">
        <f>('Pivot Table for Data Exchange'!$O$115)*100</f>
        <v>67.874404844007202</v>
      </c>
      <c r="C228" s="327">
        <f>('Pivot Table for Data Exchange'!$O$118)*100</f>
        <v>3.7815552718998604</v>
      </c>
      <c r="D228" s="328">
        <f t="shared" si="35"/>
        <v>28.309738787946344</v>
      </c>
      <c r="E228" s="327">
        <f>('Pivot Table for Data Exchange'!$O$121)*100</f>
        <v>27.883582675068723</v>
      </c>
      <c r="F228" s="327">
        <f>('Pivot Table for Data Exchange'!$O$124)*100</f>
        <v>9.7247080685638216E-3</v>
      </c>
      <c r="G228" s="335">
        <f>('Pivot Table for Data Exchange'!$O$127)*100</f>
        <v>0.41643140480905555</v>
      </c>
      <c r="H228" s="336">
        <f>('Pivot Table for Data Exchange'!$O$130)*100</f>
        <v>3.4301096146600964E-2</v>
      </c>
      <c r="I228" s="365"/>
      <c r="J228" s="365"/>
      <c r="K228" s="365"/>
      <c r="L228" s="365"/>
      <c r="M228" s="365"/>
      <c r="N228" s="365"/>
      <c r="O228" s="365"/>
      <c r="P228" s="366"/>
      <c r="Q228" s="332">
        <f t="shared" si="34"/>
        <v>100.00000000000001</v>
      </c>
      <c r="R228" s="332"/>
      <c r="Z228" s="381"/>
      <c r="AA228" s="381"/>
      <c r="AB228" s="381"/>
      <c r="AC228" s="381"/>
      <c r="AD228" s="381"/>
      <c r="AE228" s="381"/>
      <c r="AF228" s="381"/>
      <c r="AG228" s="381"/>
      <c r="AH228" s="381"/>
      <c r="AI228" s="381"/>
      <c r="AJ228" s="381"/>
      <c r="AK228" s="381"/>
      <c r="AL228" s="381"/>
      <c r="AM228" s="381"/>
      <c r="AN228" s="381"/>
      <c r="AO228" s="381"/>
    </row>
    <row r="229" spans="1:41" ht="15.75" customHeight="1">
      <c r="B229" s="327"/>
      <c r="C229" s="327"/>
      <c r="D229" s="328"/>
      <c r="E229" s="327"/>
      <c r="F229" s="327"/>
      <c r="G229" s="335"/>
      <c r="H229" s="327"/>
      <c r="I229" s="365"/>
      <c r="J229" s="365"/>
      <c r="K229" s="365"/>
      <c r="L229" s="365"/>
      <c r="M229" s="365"/>
      <c r="N229" s="365"/>
      <c r="O229" s="365"/>
      <c r="P229" s="366"/>
      <c r="Q229" s="332">
        <f t="shared" si="34"/>
        <v>0</v>
      </c>
      <c r="R229" s="332"/>
      <c r="Z229" s="381"/>
      <c r="AA229" s="381"/>
      <c r="AB229" s="381"/>
      <c r="AC229" s="381"/>
      <c r="AD229" s="381"/>
      <c r="AE229" s="381"/>
      <c r="AF229" s="381"/>
      <c r="AG229" s="381"/>
      <c r="AH229" s="381"/>
      <c r="AI229" s="381"/>
      <c r="AJ229" s="381"/>
      <c r="AK229" s="381"/>
      <c r="AL229" s="381"/>
      <c r="AM229" s="381"/>
      <c r="AN229" s="381"/>
      <c r="AO229" s="381"/>
    </row>
    <row r="230" spans="1:41" ht="15.75" customHeight="1">
      <c r="A230" s="298" t="s">
        <v>829</v>
      </c>
      <c r="B230" s="327">
        <f>('Pivot Table for Data Exchange'!$O$151)*100</f>
        <v>62.965524836685915</v>
      </c>
      <c r="C230" s="327">
        <f>('Pivot Table for Data Exchange'!$O$154)*100</f>
        <v>13.530385790273996</v>
      </c>
      <c r="D230" s="328">
        <f t="shared" ref="D230:D231" si="36">SUM(E230:G230)</f>
        <v>23.504089373040085</v>
      </c>
      <c r="E230" s="327">
        <f>('Pivot Table for Data Exchange'!$O$157)*100</f>
        <v>23.504089373040085</v>
      </c>
      <c r="F230" s="339">
        <f>('Pivot Table for Data Exchange'!$O$160)*100</f>
        <v>0</v>
      </c>
      <c r="G230" s="335">
        <f>('Pivot Table for Data Exchange'!$O$163)*100</f>
        <v>0</v>
      </c>
      <c r="H230" s="339">
        <f>('Pivot Table for Data Exchange'!$O$166)*100</f>
        <v>0</v>
      </c>
      <c r="I230" s="365"/>
      <c r="J230" s="365"/>
      <c r="K230" s="365"/>
      <c r="L230" s="365"/>
      <c r="M230" s="365"/>
      <c r="N230" s="365"/>
      <c r="O230" s="365"/>
      <c r="P230" s="366"/>
      <c r="Q230" s="332">
        <f t="shared" si="34"/>
        <v>100</v>
      </c>
      <c r="R230" s="332"/>
      <c r="Z230" s="381"/>
      <c r="AA230" s="381"/>
      <c r="AB230" s="381"/>
      <c r="AC230" s="381"/>
      <c r="AD230" s="381"/>
      <c r="AE230" s="381"/>
      <c r="AF230" s="381"/>
      <c r="AG230" s="381"/>
      <c r="AH230" s="381"/>
      <c r="AI230" s="381"/>
      <c r="AJ230" s="381"/>
      <c r="AK230" s="381"/>
      <c r="AL230" s="381"/>
      <c r="AM230" s="381"/>
      <c r="AN230" s="381"/>
      <c r="AO230" s="381"/>
    </row>
    <row r="231" spans="1:41" ht="15.75" customHeight="1">
      <c r="A231" s="298" t="s">
        <v>830</v>
      </c>
      <c r="B231" s="327">
        <f>('Pivot Table for Data Exchange'!$O$187)*100</f>
        <v>51.20811500988308</v>
      </c>
      <c r="C231" s="327">
        <f>('Pivot Table for Data Exchange'!$O$190)*100</f>
        <v>5.1535442005333412</v>
      </c>
      <c r="D231" s="328">
        <f t="shared" si="36"/>
        <v>43.63834078958358</v>
      </c>
      <c r="E231" s="327">
        <f>('Pivot Table for Data Exchange'!$O$193)*100</f>
        <v>43.63834078958358</v>
      </c>
      <c r="F231" s="327">
        <f>('Pivot Table for Data Exchange'!$O$196)*100</f>
        <v>0</v>
      </c>
      <c r="G231" s="335">
        <f>('Pivot Table for Data Exchange'!$O$199)*100</f>
        <v>0</v>
      </c>
      <c r="H231" s="327">
        <f>('Pivot Table for Data Exchange'!$O$202)*100</f>
        <v>0</v>
      </c>
      <c r="I231" s="365"/>
      <c r="J231" s="365"/>
      <c r="K231" s="365"/>
      <c r="L231" s="365"/>
      <c r="M231" s="365"/>
      <c r="N231" s="365"/>
      <c r="O231" s="365"/>
      <c r="P231" s="366"/>
      <c r="Q231" s="332">
        <f t="shared" si="34"/>
        <v>100</v>
      </c>
      <c r="R231" s="332"/>
      <c r="Z231" s="381"/>
      <c r="AA231" s="381"/>
      <c r="AB231" s="381"/>
      <c r="AC231" s="381"/>
      <c r="AD231" s="381"/>
      <c r="AE231" s="381"/>
      <c r="AF231" s="381"/>
      <c r="AG231" s="381"/>
      <c r="AH231" s="381"/>
      <c r="AI231" s="381"/>
      <c r="AJ231" s="381"/>
      <c r="AK231" s="381"/>
      <c r="AL231" s="381"/>
      <c r="AM231" s="381"/>
      <c r="AN231" s="381"/>
      <c r="AO231" s="381"/>
    </row>
    <row r="232" spans="1:41" ht="15.75" customHeight="1">
      <c r="A232" s="298" t="s">
        <v>831</v>
      </c>
      <c r="B232" s="327">
        <f>('Pivot Table for Data Exchange'!$O$223)*100</f>
        <v>77.871986602603187</v>
      </c>
      <c r="C232" s="327">
        <f>('Pivot Table for Data Exchange'!$O$226)*100</f>
        <v>0</v>
      </c>
      <c r="D232" s="328">
        <f>SUM(E232:G232)</f>
        <v>22.12801339739681</v>
      </c>
      <c r="E232" s="327">
        <f>('Pivot Table for Data Exchange'!$O$229)*100</f>
        <v>22.12801339739681</v>
      </c>
      <c r="F232" s="327">
        <f>('Pivot Table for Data Exchange'!$O$232)*100</f>
        <v>0</v>
      </c>
      <c r="G232" s="335">
        <f>('Pivot Table for Data Exchange'!$O$235)*100</f>
        <v>0</v>
      </c>
      <c r="H232" s="327">
        <f>('Pivot Table for Data Exchange'!$O$238)*100</f>
        <v>0</v>
      </c>
      <c r="Q232" s="332">
        <f t="shared" si="34"/>
        <v>100</v>
      </c>
      <c r="R232" s="332"/>
      <c r="Z232" s="381"/>
      <c r="AA232" s="381"/>
      <c r="AB232" s="381"/>
      <c r="AC232" s="381"/>
      <c r="AD232" s="381"/>
      <c r="AE232" s="381"/>
      <c r="AF232" s="381"/>
      <c r="AG232" s="381"/>
      <c r="AH232" s="381"/>
      <c r="AI232" s="381"/>
      <c r="AJ232" s="381"/>
      <c r="AK232" s="381"/>
      <c r="AL232" s="381"/>
      <c r="AM232" s="381"/>
      <c r="AN232" s="381"/>
      <c r="AO232" s="381"/>
    </row>
    <row r="233" spans="1:41" ht="15.75" customHeight="1">
      <c r="A233" s="298" t="s">
        <v>832</v>
      </c>
      <c r="B233" s="327">
        <f>('Pivot Table for Data Exchange'!$O$259)*100</f>
        <v>65.770702048154959</v>
      </c>
      <c r="C233" s="327">
        <f>('Pivot Table for Data Exchange'!$O$262)*100</f>
        <v>14.059826510390911</v>
      </c>
      <c r="D233" s="328">
        <f>SUM(E233:G233)</f>
        <v>20.165730711304903</v>
      </c>
      <c r="E233" s="327">
        <f>('Pivot Table for Data Exchange'!$O$265)*100</f>
        <v>20.066757226106759</v>
      </c>
      <c r="F233" s="327">
        <f>('Pivot Table for Data Exchange'!$O$268)*100</f>
        <v>9.8973485198145125E-2</v>
      </c>
      <c r="G233" s="334">
        <f>('Pivot Table for Data Exchange'!$O$271)*100</f>
        <v>0</v>
      </c>
      <c r="H233" s="336">
        <f>('Pivot Table for Data Exchange'!$O$274)*100</f>
        <v>3.7407301492212329E-3</v>
      </c>
      <c r="I233" s="365"/>
      <c r="J233" s="365"/>
      <c r="K233" s="365"/>
      <c r="L233" s="365"/>
      <c r="M233" s="365"/>
      <c r="N233" s="365"/>
      <c r="O233" s="365"/>
      <c r="P233" s="366"/>
      <c r="Q233" s="332">
        <f t="shared" si="34"/>
        <v>99.999999999999986</v>
      </c>
      <c r="R233" s="332"/>
      <c r="Z233" s="381"/>
      <c r="AA233" s="381"/>
      <c r="AB233" s="381"/>
      <c r="AC233" s="381"/>
      <c r="AD233" s="381"/>
      <c r="AE233" s="381"/>
      <c r="AF233" s="381"/>
      <c r="AG233" s="381"/>
      <c r="AH233" s="381"/>
      <c r="AI233" s="381"/>
      <c r="AJ233" s="381"/>
      <c r="AK233" s="381"/>
      <c r="AL233" s="381"/>
      <c r="AM233" s="381"/>
      <c r="AN233" s="381"/>
      <c r="AO233" s="381"/>
    </row>
    <row r="234" spans="1:41" ht="15.75" customHeight="1">
      <c r="B234" s="327"/>
      <c r="C234" s="327"/>
      <c r="D234" s="328"/>
      <c r="E234" s="327"/>
      <c r="F234" s="327"/>
      <c r="G234" s="335"/>
      <c r="H234" s="327"/>
      <c r="I234" s="365"/>
      <c r="J234" s="365"/>
      <c r="K234" s="365"/>
      <c r="L234" s="365"/>
      <c r="M234" s="365"/>
      <c r="N234" s="365"/>
      <c r="O234" s="365"/>
      <c r="P234" s="366"/>
      <c r="Q234" s="332">
        <f t="shared" si="34"/>
        <v>0</v>
      </c>
      <c r="R234" s="332"/>
      <c r="Z234" s="381"/>
      <c r="AA234" s="381"/>
      <c r="AB234" s="381"/>
      <c r="AC234" s="381"/>
      <c r="AD234" s="381"/>
      <c r="AE234" s="381"/>
      <c r="AF234" s="381"/>
      <c r="AG234" s="381"/>
      <c r="AH234" s="381"/>
      <c r="AI234" s="381"/>
      <c r="AJ234" s="381"/>
      <c r="AK234" s="381"/>
      <c r="AL234" s="381"/>
      <c r="AM234" s="381"/>
      <c r="AN234" s="381"/>
      <c r="AO234" s="381"/>
    </row>
    <row r="235" spans="1:41" ht="15.75" customHeight="1">
      <c r="A235" s="298" t="s">
        <v>880</v>
      </c>
      <c r="B235" s="327">
        <f>('Pivot Table for Data Exchange'!$O$295)*100</f>
        <v>68.84067244114641</v>
      </c>
      <c r="C235" s="327">
        <f>('Pivot Table for Data Exchange'!$O$298)*100</f>
        <v>3.9433125067263921</v>
      </c>
      <c r="D235" s="328">
        <f>SUM(E235:G235)</f>
        <v>27.216015052127201</v>
      </c>
      <c r="E235" s="327">
        <f>('Pivot Table for Data Exchange'!$O$301)*100</f>
        <v>27.216015052127201</v>
      </c>
      <c r="F235" s="327">
        <f>('Pivot Table for Data Exchange'!$O$304)*100</f>
        <v>0</v>
      </c>
      <c r="G235" s="335">
        <f>('Pivot Table for Data Exchange'!$O$307)*100</f>
        <v>0</v>
      </c>
      <c r="H235" s="327">
        <f>('Pivot Table for Data Exchange'!$O$310)*100</f>
        <v>0</v>
      </c>
      <c r="I235" s="365"/>
      <c r="J235" s="365"/>
      <c r="K235" s="365"/>
      <c r="L235" s="365"/>
      <c r="M235" s="365"/>
      <c r="N235" s="365"/>
      <c r="O235" s="365"/>
      <c r="P235" s="366"/>
      <c r="Q235" s="332">
        <f t="shared" si="34"/>
        <v>100</v>
      </c>
      <c r="R235" s="332"/>
      <c r="Z235" s="381"/>
      <c r="AA235" s="381"/>
      <c r="AB235" s="381"/>
      <c r="AC235" s="381"/>
      <c r="AD235" s="381"/>
      <c r="AE235" s="381"/>
      <c r="AF235" s="381"/>
      <c r="AG235" s="381"/>
      <c r="AH235" s="381"/>
      <c r="AI235" s="381"/>
      <c r="AJ235" s="381"/>
      <c r="AK235" s="381"/>
      <c r="AL235" s="381"/>
      <c r="AM235" s="381"/>
      <c r="AN235" s="381"/>
      <c r="AO235" s="381"/>
    </row>
    <row r="236" spans="1:41" ht="15.75" customHeight="1">
      <c r="A236" s="298" t="s">
        <v>834</v>
      </c>
      <c r="B236" s="327">
        <f>('Pivot Table for Data Exchange'!$O$331)*100</f>
        <v>48.379667970456211</v>
      </c>
      <c r="C236" s="327">
        <f>('Pivot Table for Data Exchange'!$O$334)*100</f>
        <v>3.5490408069043919</v>
      </c>
      <c r="D236" s="328">
        <f>SUM(E236:G236)</f>
        <v>48.071291222639402</v>
      </c>
      <c r="E236" s="327">
        <f>('Pivot Table for Data Exchange'!$O$337)*100</f>
        <v>47.741035750687509</v>
      </c>
      <c r="F236" s="327">
        <f>('Pivot Table for Data Exchange'!$O$340)*100</f>
        <v>0.31679854270427532</v>
      </c>
      <c r="G236" s="335">
        <f>('Pivot Table for Data Exchange'!$O$343)*100</f>
        <v>1.3456929247615237E-2</v>
      </c>
      <c r="H236" s="327">
        <f>('Pivot Table for Data Exchange'!$O$346)*100</f>
        <v>0</v>
      </c>
      <c r="I236" s="365"/>
      <c r="J236" s="365"/>
      <c r="K236" s="365"/>
      <c r="L236" s="365"/>
      <c r="M236" s="365"/>
      <c r="N236" s="365"/>
      <c r="O236" s="365"/>
      <c r="P236" s="366"/>
      <c r="Q236" s="332">
        <f t="shared" si="34"/>
        <v>100</v>
      </c>
      <c r="R236" s="332"/>
      <c r="Z236" s="381"/>
      <c r="AA236" s="381"/>
      <c r="AB236" s="381"/>
      <c r="AC236" s="381"/>
      <c r="AD236" s="381"/>
      <c r="AE236" s="381"/>
      <c r="AF236" s="381"/>
      <c r="AG236" s="381"/>
      <c r="AH236" s="381"/>
      <c r="AI236" s="381"/>
      <c r="AJ236" s="381"/>
      <c r="AK236" s="381"/>
      <c r="AL236" s="381"/>
      <c r="AM236" s="381"/>
      <c r="AN236" s="381"/>
      <c r="AO236" s="381"/>
    </row>
    <row r="237" spans="1:41" ht="15.75" customHeight="1">
      <c r="A237" s="298" t="s">
        <v>835</v>
      </c>
      <c r="B237" s="327">
        <f>('Pivot Table for Data Exchange'!$O$367)*100</f>
        <v>67.558822605472315</v>
      </c>
      <c r="C237" s="327">
        <f>('Pivot Table for Data Exchange'!$O$370)*100</f>
        <v>2.5918857789086798</v>
      </c>
      <c r="D237" s="328">
        <f>SUM(E237:G237)</f>
        <v>29.849291615619013</v>
      </c>
      <c r="E237" s="327">
        <f>('Pivot Table for Data Exchange'!$O$373)*100</f>
        <v>27.490889956962899</v>
      </c>
      <c r="F237" s="327">
        <f>('Pivot Table for Data Exchange'!$O$376)*100</f>
        <v>2.0945245499952878</v>
      </c>
      <c r="G237" s="335">
        <f>('Pivot Table for Data Exchange'!$O$379)*100</f>
        <v>0.2638771086608237</v>
      </c>
      <c r="H237" s="339">
        <f>('Pivot Table for Data Exchange'!$O$382)*100</f>
        <v>0</v>
      </c>
      <c r="I237" s="365"/>
      <c r="J237" s="365"/>
      <c r="K237" s="365"/>
      <c r="L237" s="365"/>
      <c r="M237" s="365"/>
      <c r="N237" s="365"/>
      <c r="O237" s="365"/>
      <c r="P237" s="366"/>
      <c r="Q237" s="332">
        <f t="shared" si="34"/>
        <v>100</v>
      </c>
      <c r="R237" s="332"/>
      <c r="Z237" s="381"/>
      <c r="AA237" s="381"/>
      <c r="AB237" s="381"/>
      <c r="AC237" s="381"/>
      <c r="AD237" s="381"/>
      <c r="AE237" s="381"/>
      <c r="AF237" s="381"/>
      <c r="AG237" s="381"/>
      <c r="AH237" s="381"/>
      <c r="AI237" s="381"/>
      <c r="AJ237" s="381"/>
      <c r="AK237" s="381"/>
      <c r="AL237" s="381"/>
      <c r="AM237" s="381"/>
      <c r="AN237" s="381"/>
      <c r="AO237" s="381"/>
    </row>
    <row r="238" spans="1:41" ht="15.75" customHeight="1">
      <c r="A238" s="298" t="s">
        <v>836</v>
      </c>
      <c r="B238" s="327">
        <f>('Pivot Table for Data Exchange'!$O$403)*100</f>
        <v>58.167573416969873</v>
      </c>
      <c r="C238" s="327">
        <f>('Pivot Table for Data Exchange'!$O$406)*100</f>
        <v>8.0801081222359024</v>
      </c>
      <c r="D238" s="328">
        <f>SUM(E238:G238)</f>
        <v>33.752318460794221</v>
      </c>
      <c r="E238" s="327">
        <f>('Pivot Table for Data Exchange'!$O$409)*100</f>
        <v>32.921512794235312</v>
      </c>
      <c r="F238" s="327">
        <f>('Pivot Table for Data Exchange'!$O$412)*100</f>
        <v>0.8308056665589113</v>
      </c>
      <c r="G238" s="335">
        <f>('Pivot Table for Data Exchange'!$O$415)*100</f>
        <v>0</v>
      </c>
      <c r="H238" s="327">
        <f>('Pivot Table for Data Exchange'!$O$418)*100</f>
        <v>0</v>
      </c>
      <c r="I238" s="365"/>
      <c r="J238" s="365"/>
      <c r="K238" s="365"/>
      <c r="L238" s="365"/>
      <c r="M238" s="365"/>
      <c r="N238" s="365"/>
      <c r="O238" s="365"/>
      <c r="P238" s="366"/>
      <c r="Q238" s="332">
        <f t="shared" si="34"/>
        <v>100</v>
      </c>
      <c r="R238" s="332"/>
      <c r="Z238" s="381"/>
      <c r="AA238" s="381"/>
      <c r="AB238" s="381"/>
      <c r="AC238" s="381"/>
      <c r="AD238" s="381"/>
      <c r="AE238" s="381"/>
      <c r="AF238" s="381"/>
      <c r="AG238" s="381"/>
      <c r="AH238" s="381"/>
      <c r="AI238" s="381"/>
      <c r="AJ238" s="381"/>
      <c r="AK238" s="381"/>
      <c r="AL238" s="381"/>
      <c r="AM238" s="381"/>
      <c r="AN238" s="381"/>
      <c r="AO238" s="381"/>
    </row>
    <row r="239" spans="1:41" ht="10.5" customHeight="1">
      <c r="B239" s="327"/>
      <c r="C239" s="327"/>
      <c r="D239" s="328"/>
      <c r="E239" s="327"/>
      <c r="F239" s="327"/>
      <c r="G239" s="335"/>
      <c r="H239" s="327"/>
      <c r="I239" s="365"/>
      <c r="J239" s="365"/>
      <c r="K239" s="365"/>
      <c r="L239" s="365"/>
      <c r="M239" s="365"/>
      <c r="N239" s="365"/>
      <c r="O239" s="365"/>
      <c r="P239" s="366"/>
      <c r="Q239" s="332">
        <f t="shared" si="34"/>
        <v>0</v>
      </c>
      <c r="R239" s="332"/>
      <c r="Z239" s="381"/>
      <c r="AA239" s="381"/>
      <c r="AB239" s="381"/>
      <c r="AC239" s="381"/>
      <c r="AD239" s="381"/>
      <c r="AE239" s="381"/>
      <c r="AF239" s="381"/>
      <c r="AG239" s="381"/>
      <c r="AH239" s="381"/>
      <c r="AI239" s="381"/>
      <c r="AJ239" s="381"/>
      <c r="AK239" s="381"/>
      <c r="AL239" s="381"/>
      <c r="AM239" s="381"/>
      <c r="AN239" s="381"/>
      <c r="AO239" s="381"/>
    </row>
    <row r="240" spans="1:41" ht="15.75" customHeight="1">
      <c r="A240" s="298" t="s">
        <v>837</v>
      </c>
      <c r="B240" s="327">
        <f>('Pivot Table for Data Exchange'!$O$439)*100</f>
        <v>37.44692714234025</v>
      </c>
      <c r="C240" s="327">
        <f>('Pivot Table for Data Exchange'!$O$442)*100</f>
        <v>33.383376139605787</v>
      </c>
      <c r="D240" s="328">
        <f>SUM(E240:G240)</f>
        <v>28.994477694274238</v>
      </c>
      <c r="E240" s="327">
        <f>('Pivot Table for Data Exchange'!$O$445)*100</f>
        <v>22.217404456993041</v>
      </c>
      <c r="F240" s="327">
        <f>('Pivot Table for Data Exchange'!$O$448)*100</f>
        <v>1.5480843945927671</v>
      </c>
      <c r="G240" s="335">
        <f>('Pivot Table for Data Exchange'!$O$451)*100</f>
        <v>5.2289888426884321</v>
      </c>
      <c r="H240" s="327">
        <f>('Pivot Table for Data Exchange'!$O$454)*100</f>
        <v>0.17521902377972465</v>
      </c>
      <c r="I240" s="365"/>
      <c r="J240" s="365"/>
      <c r="K240" s="365"/>
      <c r="L240" s="365"/>
      <c r="M240" s="365"/>
      <c r="N240" s="365"/>
      <c r="O240" s="365"/>
      <c r="P240" s="366"/>
      <c r="Q240" s="332">
        <f t="shared" si="34"/>
        <v>100</v>
      </c>
      <c r="R240" s="332"/>
      <c r="Z240" s="381"/>
      <c r="AA240" s="381"/>
      <c r="AB240" s="381"/>
      <c r="AC240" s="381"/>
      <c r="AD240" s="381"/>
      <c r="AE240" s="381"/>
      <c r="AF240" s="381"/>
      <c r="AG240" s="381"/>
      <c r="AH240" s="381"/>
      <c r="AI240" s="381"/>
      <c r="AJ240" s="381"/>
      <c r="AK240" s="381"/>
      <c r="AL240" s="381"/>
      <c r="AM240" s="381"/>
      <c r="AN240" s="381"/>
      <c r="AO240" s="381"/>
    </row>
    <row r="241" spans="1:41" ht="15.75" customHeight="1">
      <c r="A241" s="298" t="s">
        <v>838</v>
      </c>
      <c r="B241" s="327">
        <f>('Pivot Table for Data Exchange'!$O$475)*100</f>
        <v>55.934743702503852</v>
      </c>
      <c r="C241" s="327">
        <f>('Pivot Table for Data Exchange'!$O$478)*100</f>
        <v>13.840914542250493</v>
      </c>
      <c r="D241" s="328">
        <f>SUM(E241:G241)</f>
        <v>30.224341755245657</v>
      </c>
      <c r="E241" s="327">
        <f>('Pivot Table for Data Exchange'!$O$481)*100</f>
        <v>29.762991548190364</v>
      </c>
      <c r="F241" s="327">
        <f>('Pivot Table for Data Exchange'!$O$484)*100</f>
        <v>0.42840919259172849</v>
      </c>
      <c r="G241" s="335">
        <f>('Pivot Table for Data Exchange'!$O$487)*100</f>
        <v>3.2941014463562374E-2</v>
      </c>
      <c r="H241" s="327">
        <f>('Pivot Table for Data Exchange'!$O$490)*100</f>
        <v>0</v>
      </c>
      <c r="I241" s="365"/>
      <c r="J241" s="365"/>
      <c r="K241" s="365"/>
      <c r="L241" s="365"/>
      <c r="M241" s="365"/>
      <c r="N241" s="365"/>
      <c r="O241" s="365"/>
      <c r="P241" s="366"/>
      <c r="Q241" s="332">
        <f t="shared" si="34"/>
        <v>100</v>
      </c>
      <c r="R241" s="332"/>
      <c r="Z241" s="381"/>
      <c r="AA241" s="381"/>
      <c r="AB241" s="381"/>
      <c r="AC241" s="381"/>
      <c r="AD241" s="381"/>
      <c r="AE241" s="381"/>
      <c r="AF241" s="381"/>
      <c r="AG241" s="381"/>
      <c r="AH241" s="381"/>
      <c r="AI241" s="381"/>
      <c r="AJ241" s="381"/>
      <c r="AK241" s="381"/>
      <c r="AL241" s="381"/>
      <c r="AM241" s="381"/>
      <c r="AN241" s="381"/>
      <c r="AO241" s="381"/>
    </row>
    <row r="242" spans="1:41" ht="15.75" customHeight="1">
      <c r="A242" s="298" t="s">
        <v>839</v>
      </c>
      <c r="B242" s="327">
        <f>('Pivot Table for Data Exchange'!$O$511)*100</f>
        <v>53.209196976480811</v>
      </c>
      <c r="C242" s="327">
        <f>('Pivot Table for Data Exchange'!$O$514)*100</f>
        <v>15.506070741921041</v>
      </c>
      <c r="D242" s="328">
        <f>SUM(E242:G242)</f>
        <v>31.284732281598146</v>
      </c>
      <c r="E242" s="327">
        <f>('Pivot Table for Data Exchange'!$O$517)*100</f>
        <v>29.008006531644238</v>
      </c>
      <c r="F242" s="327">
        <f>('Pivot Table for Data Exchange'!$O$520)*100</f>
        <v>2.2767257499539095</v>
      </c>
      <c r="G242" s="335">
        <f>('Pivot Table for Data Exchange'!$O$523)*100</f>
        <v>0</v>
      </c>
      <c r="H242" s="327">
        <f>('Pivot Table for Data Exchange'!$O$526)*100</f>
        <v>0</v>
      </c>
      <c r="I242" s="365"/>
      <c r="J242" s="365"/>
      <c r="K242" s="365"/>
      <c r="L242" s="365"/>
      <c r="M242" s="365"/>
      <c r="N242" s="365"/>
      <c r="O242" s="365"/>
      <c r="P242" s="366"/>
      <c r="Q242" s="332">
        <f t="shared" si="34"/>
        <v>100</v>
      </c>
      <c r="R242" s="332"/>
      <c r="Z242" s="381"/>
      <c r="AA242" s="381"/>
      <c r="AB242" s="381"/>
      <c r="AC242" s="381"/>
      <c r="AD242" s="381"/>
      <c r="AE242" s="381"/>
      <c r="AF242" s="381"/>
      <c r="AG242" s="381"/>
      <c r="AH242" s="381"/>
      <c r="AI242" s="381"/>
      <c r="AJ242" s="381"/>
      <c r="AK242" s="381"/>
      <c r="AL242" s="381"/>
      <c r="AM242" s="381"/>
      <c r="AN242" s="381"/>
      <c r="AO242" s="381"/>
    </row>
    <row r="243" spans="1:41" ht="15.75" customHeight="1">
      <c r="A243" s="304" t="s">
        <v>840</v>
      </c>
      <c r="B243" s="340">
        <f>('Pivot Table for Data Exchange'!$O$547)*100</f>
        <v>57.558638192409575</v>
      </c>
      <c r="C243" s="340">
        <f>('Pivot Table for Data Exchange'!$O$550)*100</f>
        <v>11.353988262891743</v>
      </c>
      <c r="D243" s="341">
        <f>SUM(E243:G243)</f>
        <v>31.087373544698686</v>
      </c>
      <c r="E243" s="340">
        <f>('Pivot Table for Data Exchange'!$O$553)*100</f>
        <v>29.89066469695371</v>
      </c>
      <c r="F243" s="340">
        <f>('Pivot Table for Data Exchange'!$O$556)*100</f>
        <v>1.1961677178115624</v>
      </c>
      <c r="G243" s="342">
        <f>('Pivot Table for Data Exchange'!$O$559)*100</f>
        <v>5.4112993341396169E-4</v>
      </c>
      <c r="H243" s="340">
        <f>('Pivot Table for Data Exchange'!$O$562)*100</f>
        <v>0</v>
      </c>
      <c r="I243" s="365"/>
      <c r="J243" s="365"/>
      <c r="K243" s="365"/>
      <c r="L243" s="365"/>
      <c r="M243" s="365"/>
      <c r="N243" s="365"/>
      <c r="O243" s="365"/>
      <c r="P243" s="366"/>
      <c r="Q243" s="332">
        <f t="shared" si="34"/>
        <v>100</v>
      </c>
      <c r="R243" s="332"/>
      <c r="Z243" s="381"/>
      <c r="AA243" s="381"/>
      <c r="AB243" s="381"/>
      <c r="AC243" s="381"/>
      <c r="AD243" s="381"/>
      <c r="AE243" s="381"/>
      <c r="AF243" s="381"/>
      <c r="AG243" s="381"/>
      <c r="AH243" s="381"/>
      <c r="AI243" s="381"/>
      <c r="AJ243" s="381"/>
      <c r="AK243" s="381"/>
      <c r="AL243" s="381"/>
      <c r="AM243" s="381"/>
      <c r="AN243" s="381"/>
      <c r="AO243" s="381"/>
    </row>
    <row r="244" spans="1:41" s="371" customFormat="1" ht="12.75" customHeight="1">
      <c r="A244" s="346" t="s">
        <v>866</v>
      </c>
      <c r="B244" s="347"/>
      <c r="C244" s="347"/>
      <c r="D244" s="348"/>
      <c r="E244" s="347"/>
      <c r="F244" s="348"/>
      <c r="G244" s="348"/>
      <c r="H244" s="347"/>
      <c r="I244" s="356"/>
      <c r="J244" s="347"/>
      <c r="K244" s="347"/>
      <c r="L244" s="348"/>
      <c r="M244" s="347"/>
      <c r="N244" s="348"/>
      <c r="O244" s="348"/>
      <c r="P244" s="347"/>
      <c r="Q244" s="332">
        <f t="shared" si="34"/>
        <v>0</v>
      </c>
      <c r="R244" s="367"/>
      <c r="S244" s="384"/>
      <c r="T244" s="384"/>
      <c r="U244" s="384"/>
      <c r="V244" s="384"/>
      <c r="W244" s="384"/>
      <c r="X244" s="384"/>
      <c r="Y244" s="384"/>
      <c r="Z244" s="384"/>
      <c r="AA244" s="384"/>
      <c r="AB244" s="384"/>
      <c r="AC244" s="384"/>
      <c r="AD244" s="384"/>
      <c r="AE244" s="384"/>
      <c r="AF244" s="384"/>
      <c r="AG244" s="384"/>
      <c r="AH244" s="384"/>
      <c r="AI244" s="384"/>
      <c r="AJ244" s="384"/>
      <c r="AK244" s="384"/>
      <c r="AL244" s="384"/>
      <c r="AM244" s="384"/>
      <c r="AN244" s="384"/>
      <c r="AO244" s="384"/>
    </row>
    <row r="245" spans="1:41" s="371" customFormat="1" ht="24.75" customHeight="1">
      <c r="A245" s="455" t="s">
        <v>881</v>
      </c>
      <c r="B245" s="456"/>
      <c r="C245" s="456"/>
      <c r="D245" s="456"/>
      <c r="E245" s="456"/>
      <c r="F245" s="456"/>
      <c r="G245" s="456"/>
      <c r="H245" s="456"/>
      <c r="I245" s="356"/>
      <c r="J245" s="345"/>
      <c r="K245" s="345"/>
      <c r="L245" s="345"/>
      <c r="M245" s="345"/>
      <c r="N245" s="345"/>
      <c r="O245" s="345"/>
      <c r="P245" s="358"/>
      <c r="Q245" s="332">
        <f t="shared" si="34"/>
        <v>0</v>
      </c>
      <c r="R245" s="368"/>
    </row>
    <row r="246" spans="1:41" ht="12" customHeight="1">
      <c r="B246" s="369"/>
      <c r="C246" s="369"/>
      <c r="D246" s="370"/>
      <c r="E246" s="369"/>
      <c r="F246" s="370"/>
      <c r="G246" s="370"/>
      <c r="H246" s="369"/>
      <c r="I246" s="298"/>
      <c r="J246" s="369"/>
      <c r="K246" s="369"/>
      <c r="L246" s="370"/>
      <c r="M246" s="369"/>
      <c r="N246" s="370"/>
      <c r="O246" s="370"/>
      <c r="P246" s="369"/>
      <c r="Q246" s="332">
        <f t="shared" si="34"/>
        <v>0</v>
      </c>
      <c r="R246" s="332"/>
      <c r="S246" s="381"/>
      <c r="T246" s="381"/>
      <c r="U246" s="381"/>
      <c r="V246" s="381"/>
      <c r="W246" s="381"/>
      <c r="X246" s="381"/>
      <c r="Y246" s="381"/>
      <c r="Z246" s="381"/>
      <c r="AA246" s="381"/>
      <c r="AB246" s="381"/>
      <c r="AC246" s="381"/>
      <c r="AD246" s="381"/>
      <c r="AE246" s="381"/>
      <c r="AF246" s="381"/>
      <c r="AG246" s="381"/>
      <c r="AH246" s="381"/>
      <c r="AI246" s="381"/>
      <c r="AJ246" s="381"/>
      <c r="AK246" s="381"/>
      <c r="AL246" s="381"/>
      <c r="AM246" s="381"/>
      <c r="AN246" s="381"/>
      <c r="AO246" s="381"/>
    </row>
    <row r="247" spans="1:41" s="371" customFormat="1">
      <c r="A247" s="345"/>
      <c r="B247" s="345"/>
      <c r="C247" s="345"/>
      <c r="D247" s="345"/>
      <c r="E247" s="345"/>
      <c r="F247" s="345"/>
      <c r="G247" s="345"/>
      <c r="H247" s="351" t="s">
        <v>980</v>
      </c>
      <c r="I247" s="345"/>
      <c r="J247" s="345"/>
      <c r="K247" s="345"/>
      <c r="L247" s="345"/>
      <c r="M247" s="345"/>
      <c r="N247" s="345"/>
      <c r="O247" s="345"/>
      <c r="P247" s="345"/>
      <c r="Q247" s="332">
        <f t="shared" si="34"/>
        <v>0</v>
      </c>
    </row>
    <row r="248" spans="1:41" ht="18">
      <c r="A248" s="293" t="s">
        <v>882</v>
      </c>
      <c r="B248" s="294"/>
      <c r="C248" s="294"/>
      <c r="D248" s="294"/>
      <c r="E248" s="294"/>
      <c r="F248" s="294"/>
      <c r="G248" s="294"/>
      <c r="H248" s="294"/>
      <c r="Q248" s="332">
        <f t="shared" si="34"/>
        <v>0</v>
      </c>
    </row>
    <row r="249" spans="1:41">
      <c r="A249" s="299"/>
      <c r="B249" s="295"/>
      <c r="C249" s="295"/>
      <c r="D249" s="295"/>
      <c r="E249" s="295"/>
      <c r="F249" s="295"/>
      <c r="G249" s="295"/>
      <c r="H249" s="295"/>
      <c r="Q249" s="332">
        <f t="shared" si="34"/>
        <v>0</v>
      </c>
    </row>
    <row r="250" spans="1:41" ht="15.75">
      <c r="A250" s="301" t="s">
        <v>846</v>
      </c>
      <c r="B250" s="295"/>
      <c r="C250" s="295"/>
      <c r="D250" s="295"/>
      <c r="E250" s="295"/>
      <c r="F250" s="295"/>
      <c r="G250" s="295"/>
      <c r="H250" s="295"/>
      <c r="Q250" s="332">
        <f t="shared" si="34"/>
        <v>0</v>
      </c>
    </row>
    <row r="251" spans="1:41" ht="15.75">
      <c r="A251" s="301" t="s">
        <v>989</v>
      </c>
      <c r="B251" s="295"/>
      <c r="C251" s="295"/>
      <c r="D251" s="295"/>
      <c r="E251" s="295"/>
      <c r="F251" s="295"/>
      <c r="G251" s="295"/>
      <c r="H251" s="295"/>
      <c r="Q251" s="332">
        <f t="shared" si="34"/>
        <v>0</v>
      </c>
    </row>
    <row r="252" spans="1:41">
      <c r="A252" s="304"/>
      <c r="B252" s="305"/>
      <c r="C252" s="305"/>
      <c r="D252" s="305"/>
      <c r="E252" s="305"/>
      <c r="F252" s="305"/>
      <c r="G252" s="305"/>
      <c r="H252" s="305"/>
      <c r="Q252" s="332">
        <f t="shared" si="34"/>
        <v>0</v>
      </c>
    </row>
    <row r="253" spans="1:41">
      <c r="A253" s="309"/>
      <c r="B253" s="310" t="s">
        <v>848</v>
      </c>
      <c r="C253" s="310"/>
      <c r="D253" s="310"/>
      <c r="E253" s="310"/>
      <c r="F253" s="310"/>
      <c r="G253" s="310"/>
      <c r="H253" s="311"/>
      <c r="Q253" s="332">
        <f t="shared" si="34"/>
        <v>0</v>
      </c>
    </row>
    <row r="254" spans="1:41">
      <c r="A254" s="309"/>
      <c r="B254" s="310" t="s">
        <v>849</v>
      </c>
      <c r="C254" s="310"/>
      <c r="D254" s="450" t="s">
        <v>850</v>
      </c>
      <c r="E254" s="448"/>
      <c r="F254" s="448"/>
      <c r="G254" s="448"/>
      <c r="H254" s="317" t="s">
        <v>740</v>
      </c>
      <c r="Q254" s="332">
        <f t="shared" si="34"/>
        <v>0</v>
      </c>
    </row>
    <row r="255" spans="1:41" ht="36">
      <c r="A255" s="309"/>
      <c r="B255" s="318" t="s">
        <v>851</v>
      </c>
      <c r="C255" s="319" t="s">
        <v>852</v>
      </c>
      <c r="D255" s="320" t="s">
        <v>853</v>
      </c>
      <c r="E255" s="321" t="s">
        <v>8</v>
      </c>
      <c r="F255" s="318" t="s">
        <v>854</v>
      </c>
      <c r="G255" s="322" t="s">
        <v>864</v>
      </c>
      <c r="H255" s="323" t="s">
        <v>856</v>
      </c>
      <c r="Q255" s="332">
        <f t="shared" si="34"/>
        <v>0</v>
      </c>
    </row>
    <row r="256" spans="1:41" ht="15.75" customHeight="1">
      <c r="A256" s="353" t="s">
        <v>825</v>
      </c>
      <c r="B256" s="380">
        <f>('Pivot Table for Data Exchange'!$K$7)*100</f>
        <v>0</v>
      </c>
      <c r="C256" s="327">
        <f>('Pivot Table for Data Exchange'!$K$10)*100</f>
        <v>0</v>
      </c>
      <c r="D256" s="328">
        <f>SUM(E256:G256)</f>
        <v>0</v>
      </c>
      <c r="E256" s="327">
        <f>('Pivot Table for Data Exchange'!$K$13)*100</f>
        <v>0</v>
      </c>
      <c r="F256" s="327">
        <f>('Pivot Table for Data Exchange'!$K$16)*100</f>
        <v>0</v>
      </c>
      <c r="G256" s="331">
        <f>('Pivot Table for Data Exchange'!$K$19)*100</f>
        <v>0</v>
      </c>
      <c r="H256" s="327">
        <f>('Pivot Table for Data Exchange'!$K$22)*100</f>
        <v>0</v>
      </c>
      <c r="I256" s="298"/>
      <c r="J256" s="366"/>
      <c r="K256" s="366"/>
      <c r="L256" s="366"/>
      <c r="M256" s="366"/>
      <c r="N256" s="366"/>
      <c r="O256" s="366"/>
      <c r="P256" s="366"/>
      <c r="Q256" s="332">
        <f t="shared" si="34"/>
        <v>0</v>
      </c>
      <c r="R256" s="332"/>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row>
    <row r="257" spans="1:41" ht="15.75" customHeight="1">
      <c r="A257" s="298" t="s">
        <v>826</v>
      </c>
      <c r="B257" s="327">
        <f>('Pivot Table for Data Exchange'!$K$43)*100</f>
        <v>0</v>
      </c>
      <c r="C257" s="327">
        <f>('Pivot Table for Data Exchange'!$K$46)*100</f>
        <v>0</v>
      </c>
      <c r="D257" s="328">
        <f t="shared" ref="D257:D259" si="37">SUM(E257:G257)</f>
        <v>0</v>
      </c>
      <c r="E257" s="327">
        <f>('Pivot Table for Data Exchange'!$K$49)*100</f>
        <v>0</v>
      </c>
      <c r="F257" s="327">
        <f>('Pivot Table for Data Exchange'!$K$52)*100</f>
        <v>0</v>
      </c>
      <c r="G257" s="335">
        <f>('Pivot Table for Data Exchange'!$K$55)*100</f>
        <v>0</v>
      </c>
      <c r="H257" s="327">
        <f>('Pivot Table for Data Exchange'!$K$58)*100</f>
        <v>0</v>
      </c>
      <c r="I257" s="298"/>
      <c r="J257" s="366"/>
      <c r="K257" s="366"/>
      <c r="L257" s="366"/>
      <c r="M257" s="366"/>
      <c r="N257" s="366"/>
      <c r="O257" s="366"/>
      <c r="P257" s="366"/>
      <c r="Q257" s="332">
        <f t="shared" si="34"/>
        <v>0</v>
      </c>
      <c r="R257" s="332"/>
      <c r="S257" s="381"/>
      <c r="T257" s="381"/>
      <c r="U257" s="381"/>
      <c r="V257" s="381"/>
      <c r="W257" s="381"/>
      <c r="X257" s="381"/>
      <c r="Y257" s="381"/>
      <c r="Z257" s="381"/>
      <c r="AA257" s="381"/>
      <c r="AB257" s="381"/>
      <c r="AC257" s="381"/>
      <c r="AD257" s="381"/>
      <c r="AE257" s="381"/>
      <c r="AF257" s="381"/>
      <c r="AG257" s="381"/>
      <c r="AH257" s="381"/>
      <c r="AI257" s="381"/>
      <c r="AJ257" s="381"/>
      <c r="AK257" s="381"/>
      <c r="AL257" s="381"/>
      <c r="AM257" s="381"/>
      <c r="AN257" s="381"/>
      <c r="AO257" s="381"/>
    </row>
    <row r="258" spans="1:41" ht="15.75" customHeight="1">
      <c r="A258" s="298" t="s">
        <v>827</v>
      </c>
      <c r="B258" s="327">
        <f>('Pivot Table for Data Exchange'!$K$79)*100</f>
        <v>0</v>
      </c>
      <c r="C258" s="327">
        <f>('Pivot Table for Data Exchange'!$K$82)*100</f>
        <v>0</v>
      </c>
      <c r="D258" s="328">
        <f t="shared" si="37"/>
        <v>0</v>
      </c>
      <c r="E258" s="327">
        <f>('Pivot Table for Data Exchange'!$K$85)*100</f>
        <v>0</v>
      </c>
      <c r="F258" s="327">
        <f>('Pivot Table for Data Exchange'!$K$88)*100</f>
        <v>0</v>
      </c>
      <c r="G258" s="335">
        <f>('Pivot Table for Data Exchange'!$K$91)*100</f>
        <v>0</v>
      </c>
      <c r="H258" s="327">
        <f>('Pivot Table for Data Exchange'!$K$94)*100</f>
        <v>0</v>
      </c>
      <c r="I258" s="298"/>
      <c r="J258" s="366"/>
      <c r="K258" s="366"/>
      <c r="L258" s="366"/>
      <c r="M258" s="366"/>
      <c r="N258" s="366"/>
      <c r="O258" s="366"/>
      <c r="P258" s="366"/>
      <c r="Q258" s="332">
        <f t="shared" si="34"/>
        <v>0</v>
      </c>
      <c r="R258" s="332"/>
      <c r="S258" s="381"/>
      <c r="T258" s="385"/>
      <c r="U258" s="381"/>
      <c r="V258" s="381"/>
      <c r="W258" s="381"/>
      <c r="X258" s="381"/>
      <c r="Y258" s="381"/>
      <c r="Z258" s="381"/>
      <c r="AA258" s="381"/>
      <c r="AB258" s="381"/>
      <c r="AC258" s="381"/>
      <c r="AD258" s="381"/>
      <c r="AE258" s="381"/>
      <c r="AF258" s="381"/>
      <c r="AG258" s="381"/>
      <c r="AH258" s="381"/>
      <c r="AI258" s="381"/>
      <c r="AJ258" s="381"/>
      <c r="AK258" s="381"/>
      <c r="AL258" s="381"/>
      <c r="AM258" s="381"/>
      <c r="AN258" s="381"/>
      <c r="AO258" s="381"/>
    </row>
    <row r="259" spans="1:41" ht="15.75" customHeight="1">
      <c r="A259" s="298" t="s">
        <v>865</v>
      </c>
      <c r="B259" s="327">
        <f>('Pivot Table for Data Exchange'!$K$115)*100</f>
        <v>68.155794100468256</v>
      </c>
      <c r="C259" s="327">
        <f>('Pivot Table for Data Exchange'!$K$118)*100</f>
        <v>3.7630649415853394</v>
      </c>
      <c r="D259" s="328">
        <f t="shared" si="37"/>
        <v>28.043118966789361</v>
      </c>
      <c r="E259" s="327">
        <f>('Pivot Table for Data Exchange'!$K$121)*100</f>
        <v>27.571724495903073</v>
      </c>
      <c r="F259" s="327">
        <f>('Pivot Table for Data Exchange'!$K$124)*100</f>
        <v>1.0779619479432376E-2</v>
      </c>
      <c r="G259" s="335">
        <f>('Pivot Table for Data Exchange'!$K$127)*100</f>
        <v>0.46061485140685648</v>
      </c>
      <c r="H259" s="339">
        <f>('Pivot Table for Data Exchange'!$K$130)*100</f>
        <v>3.8021991157045493E-2</v>
      </c>
      <c r="I259" s="298"/>
      <c r="J259" s="366"/>
      <c r="K259" s="366"/>
      <c r="L259" s="366"/>
      <c r="M259" s="366"/>
      <c r="N259" s="366"/>
      <c r="O259" s="366"/>
      <c r="P259" s="366"/>
      <c r="Q259" s="332">
        <f t="shared" si="34"/>
        <v>100.00000000000001</v>
      </c>
      <c r="R259" s="332"/>
      <c r="S259" s="381"/>
      <c r="U259" s="381"/>
      <c r="V259" s="381"/>
      <c r="W259" s="381"/>
      <c r="X259" s="381"/>
      <c r="Y259" s="381"/>
      <c r="Z259" s="381"/>
      <c r="AA259" s="381"/>
      <c r="AB259" s="381"/>
      <c r="AC259" s="381"/>
      <c r="AD259" s="381"/>
      <c r="AE259" s="381"/>
      <c r="AF259" s="381"/>
      <c r="AG259" s="381"/>
      <c r="AH259" s="381"/>
      <c r="AI259" s="381"/>
      <c r="AJ259" s="381"/>
      <c r="AK259" s="381"/>
      <c r="AL259" s="381"/>
      <c r="AM259" s="381"/>
      <c r="AN259" s="381"/>
      <c r="AO259" s="381"/>
    </row>
    <row r="260" spans="1:41" ht="15.75" customHeight="1">
      <c r="B260" s="327"/>
      <c r="C260" s="327"/>
      <c r="D260" s="328"/>
      <c r="E260" s="327"/>
      <c r="F260" s="327"/>
      <c r="G260" s="335"/>
      <c r="H260" s="327"/>
      <c r="I260" s="298"/>
      <c r="J260" s="366"/>
      <c r="K260" s="366"/>
      <c r="L260" s="366"/>
      <c r="M260" s="366"/>
      <c r="N260" s="366"/>
      <c r="O260" s="366"/>
      <c r="P260" s="366"/>
      <c r="Q260" s="332">
        <f t="shared" si="34"/>
        <v>0</v>
      </c>
      <c r="R260" s="332"/>
      <c r="S260" s="381"/>
      <c r="U260" s="381"/>
      <c r="V260" s="381"/>
      <c r="W260" s="381"/>
      <c r="X260" s="381"/>
      <c r="Y260" s="381"/>
      <c r="Z260" s="381"/>
      <c r="AA260" s="381"/>
      <c r="AB260" s="381"/>
      <c r="AC260" s="381"/>
      <c r="AD260" s="381"/>
      <c r="AE260" s="381"/>
      <c r="AF260" s="381"/>
      <c r="AG260" s="381"/>
      <c r="AH260" s="381"/>
      <c r="AI260" s="381"/>
      <c r="AJ260" s="381"/>
      <c r="AK260" s="381"/>
      <c r="AL260" s="381"/>
      <c r="AM260" s="381"/>
      <c r="AN260" s="381"/>
      <c r="AO260" s="381"/>
    </row>
    <row r="261" spans="1:41" ht="15.75" customHeight="1">
      <c r="A261" s="298" t="s">
        <v>829</v>
      </c>
      <c r="B261" s="327">
        <f>('Pivot Table for Data Exchange'!$K$151)*100</f>
        <v>62.965524836685915</v>
      </c>
      <c r="C261" s="327">
        <f>('Pivot Table for Data Exchange'!$K$154)*100</f>
        <v>13.530385790273996</v>
      </c>
      <c r="D261" s="328">
        <f t="shared" ref="D261:D262" si="38">SUM(E261:G261)</f>
        <v>23.504089373040085</v>
      </c>
      <c r="E261" s="327">
        <f>('Pivot Table for Data Exchange'!$K$157)*100</f>
        <v>23.504089373040085</v>
      </c>
      <c r="F261" s="327">
        <f>('Pivot Table for Data Exchange'!$K$160)*100</f>
        <v>0</v>
      </c>
      <c r="G261" s="335">
        <f>('Pivot Table for Data Exchange'!$K$163)*100</f>
        <v>0</v>
      </c>
      <c r="H261" s="339">
        <f>('Pivot Table for Data Exchange'!$K$166)*100</f>
        <v>0</v>
      </c>
      <c r="I261" s="298"/>
      <c r="J261" s="366"/>
      <c r="K261" s="366"/>
      <c r="L261" s="366"/>
      <c r="M261" s="366"/>
      <c r="N261" s="366"/>
      <c r="O261" s="366"/>
      <c r="P261" s="366"/>
      <c r="Q261" s="332">
        <f t="shared" si="34"/>
        <v>100</v>
      </c>
      <c r="R261" s="332"/>
      <c r="S261" s="381"/>
      <c r="T261" s="381"/>
      <c r="U261" s="381"/>
      <c r="V261" s="381"/>
      <c r="W261" s="381"/>
      <c r="X261" s="381"/>
      <c r="Y261" s="381"/>
      <c r="Z261" s="381"/>
      <c r="AA261" s="381"/>
      <c r="AB261" s="381"/>
      <c r="AC261" s="381"/>
      <c r="AD261" s="381"/>
      <c r="AE261" s="381"/>
      <c r="AF261" s="381"/>
      <c r="AG261" s="381"/>
      <c r="AH261" s="381"/>
      <c r="AI261" s="381"/>
      <c r="AJ261" s="381"/>
      <c r="AK261" s="381"/>
      <c r="AL261" s="381"/>
      <c r="AM261" s="381"/>
      <c r="AN261" s="381"/>
      <c r="AO261" s="381"/>
    </row>
    <row r="262" spans="1:41" ht="15.75" customHeight="1">
      <c r="A262" s="298" t="s">
        <v>830</v>
      </c>
      <c r="B262" s="327">
        <f>('Pivot Table for Data Exchange'!$K$187)*100</f>
        <v>0</v>
      </c>
      <c r="C262" s="327">
        <f>('Pivot Table for Data Exchange'!$K$190)*100</f>
        <v>0</v>
      </c>
      <c r="D262" s="328">
        <f t="shared" si="38"/>
        <v>0</v>
      </c>
      <c r="E262" s="327">
        <f>('Pivot Table for Data Exchange'!$K$193)*100</f>
        <v>0</v>
      </c>
      <c r="F262" s="327">
        <f>('Pivot Table for Data Exchange'!$K$196)*100</f>
        <v>0</v>
      </c>
      <c r="G262" s="335">
        <f>('Pivot Table for Data Exchange'!$K$199)*100</f>
        <v>0</v>
      </c>
      <c r="H262" s="327">
        <f>('Pivot Table for Data Exchange'!$K$202)*100</f>
        <v>0</v>
      </c>
      <c r="I262" s="298"/>
      <c r="J262" s="366"/>
      <c r="K262" s="366"/>
      <c r="L262" s="366"/>
      <c r="M262" s="366"/>
      <c r="N262" s="366"/>
      <c r="O262" s="366"/>
      <c r="P262" s="366"/>
      <c r="Q262" s="332">
        <f t="shared" si="34"/>
        <v>0</v>
      </c>
      <c r="R262" s="332"/>
      <c r="S262" s="381"/>
      <c r="T262" s="381"/>
      <c r="U262" s="381"/>
      <c r="V262" s="381"/>
      <c r="W262" s="381"/>
      <c r="X262" s="381"/>
      <c r="Y262" s="381"/>
      <c r="Z262" s="381"/>
      <c r="AA262" s="381"/>
      <c r="AB262" s="381"/>
      <c r="AC262" s="381"/>
      <c r="AD262" s="381"/>
      <c r="AE262" s="381"/>
      <c r="AF262" s="381"/>
      <c r="AG262" s="381"/>
      <c r="AH262" s="381"/>
      <c r="AI262" s="381"/>
      <c r="AJ262" s="381"/>
      <c r="AK262" s="381"/>
      <c r="AL262" s="381"/>
      <c r="AM262" s="381"/>
      <c r="AN262" s="381"/>
      <c r="AO262" s="381"/>
    </row>
    <row r="263" spans="1:41" ht="15.75" customHeight="1">
      <c r="A263" s="298" t="s">
        <v>831</v>
      </c>
      <c r="B263" s="327">
        <f>('Pivot Table for Data Exchange'!$K$223)*100</f>
        <v>0</v>
      </c>
      <c r="C263" s="327">
        <f>('Pivot Table for Data Exchange'!$K$226)*100</f>
        <v>0</v>
      </c>
      <c r="D263" s="328">
        <f>SUM(E263:G263)</f>
        <v>0</v>
      </c>
      <c r="E263" s="327">
        <f>('Pivot Table for Data Exchange'!$K$229)*100</f>
        <v>0</v>
      </c>
      <c r="F263" s="327">
        <f>('Pivot Table for Data Exchange'!$K$232)*100</f>
        <v>0</v>
      </c>
      <c r="G263" s="335">
        <f>('Pivot Table for Data Exchange'!$K$235)*100</f>
        <v>0</v>
      </c>
      <c r="H263" s="327">
        <f>('Pivot Table for Data Exchange'!$K$238)*100</f>
        <v>0</v>
      </c>
      <c r="I263" s="298"/>
      <c r="J263" s="366"/>
      <c r="K263" s="366"/>
      <c r="L263" s="366"/>
      <c r="M263" s="366"/>
      <c r="N263" s="366"/>
      <c r="O263" s="366"/>
      <c r="P263" s="366"/>
      <c r="Q263" s="332">
        <f t="shared" si="34"/>
        <v>0</v>
      </c>
      <c r="R263" s="332"/>
      <c r="S263" s="381"/>
      <c r="T263" s="385"/>
      <c r="U263" s="381"/>
      <c r="V263" s="381"/>
      <c r="W263" s="381"/>
      <c r="X263" s="381"/>
      <c r="Y263" s="381"/>
      <c r="Z263" s="381"/>
      <c r="AA263" s="381"/>
      <c r="AB263" s="381"/>
      <c r="AC263" s="381"/>
      <c r="AD263" s="381"/>
      <c r="AE263" s="381"/>
      <c r="AF263" s="381"/>
      <c r="AG263" s="381"/>
      <c r="AH263" s="381"/>
      <c r="AI263" s="381"/>
      <c r="AJ263" s="381"/>
      <c r="AK263" s="381"/>
      <c r="AL263" s="381"/>
      <c r="AM263" s="381"/>
      <c r="AN263" s="381"/>
      <c r="AO263" s="381"/>
    </row>
    <row r="264" spans="1:41" ht="15.75" customHeight="1">
      <c r="A264" s="298" t="s">
        <v>832</v>
      </c>
      <c r="B264" s="327">
        <f>('Pivot Table for Data Exchange'!$K$259)*100</f>
        <v>0</v>
      </c>
      <c r="C264" s="327">
        <f>('Pivot Table for Data Exchange'!$K$262)*100</f>
        <v>0</v>
      </c>
      <c r="D264" s="328">
        <f>SUM(E264:G264)</f>
        <v>0</v>
      </c>
      <c r="E264" s="327">
        <f>('Pivot Table for Data Exchange'!$K$265)*100</f>
        <v>0</v>
      </c>
      <c r="F264" s="327">
        <f>('Pivot Table for Data Exchange'!$K$268)*100</f>
        <v>0</v>
      </c>
      <c r="G264" s="335">
        <f>('Pivot Table for Data Exchange'!$K$271)*100</f>
        <v>0</v>
      </c>
      <c r="H264" s="327">
        <f>('Pivot Table for Data Exchange'!$K$274)*100</f>
        <v>0</v>
      </c>
      <c r="I264" s="298"/>
      <c r="J264" s="366"/>
      <c r="K264" s="366"/>
      <c r="L264" s="366"/>
      <c r="M264" s="366"/>
      <c r="N264" s="366"/>
      <c r="O264" s="366"/>
      <c r="P264" s="366"/>
      <c r="Q264" s="332">
        <f t="shared" si="34"/>
        <v>0</v>
      </c>
      <c r="R264" s="332"/>
      <c r="S264" s="381"/>
      <c r="U264" s="381"/>
      <c r="V264" s="381"/>
      <c r="W264" s="381"/>
      <c r="X264" s="381"/>
      <c r="Y264" s="381"/>
      <c r="Z264" s="381"/>
      <c r="AA264" s="381"/>
      <c r="AB264" s="381"/>
      <c r="AC264" s="381"/>
      <c r="AD264" s="381"/>
      <c r="AE264" s="381"/>
      <c r="AF264" s="381"/>
      <c r="AG264" s="381"/>
      <c r="AH264" s="381"/>
      <c r="AI264" s="381"/>
      <c r="AJ264" s="381"/>
      <c r="AK264" s="381"/>
      <c r="AL264" s="381"/>
      <c r="AM264" s="381"/>
      <c r="AN264" s="381"/>
      <c r="AO264" s="381"/>
    </row>
    <row r="265" spans="1:41" ht="15.75" customHeight="1">
      <c r="B265" s="327"/>
      <c r="C265" s="327"/>
      <c r="D265" s="328"/>
      <c r="E265" s="327"/>
      <c r="F265" s="327"/>
      <c r="G265" s="335"/>
      <c r="H265" s="327"/>
      <c r="I265" s="298"/>
      <c r="J265" s="366"/>
      <c r="K265" s="366"/>
      <c r="L265" s="366"/>
      <c r="M265" s="366"/>
      <c r="N265" s="366"/>
      <c r="O265" s="366"/>
      <c r="P265" s="366"/>
      <c r="Q265" s="332">
        <f t="shared" si="34"/>
        <v>0</v>
      </c>
      <c r="R265" s="332"/>
      <c r="S265" s="381"/>
      <c r="U265" s="381"/>
      <c r="V265" s="381"/>
      <c r="W265" s="381"/>
      <c r="X265" s="381"/>
      <c r="Y265" s="381"/>
      <c r="Z265" s="381"/>
      <c r="AA265" s="381"/>
      <c r="AB265" s="381"/>
      <c r="AC265" s="381"/>
      <c r="AD265" s="381"/>
      <c r="AE265" s="381"/>
      <c r="AF265" s="381"/>
      <c r="AG265" s="381"/>
      <c r="AH265" s="381"/>
      <c r="AI265" s="381"/>
      <c r="AJ265" s="381"/>
      <c r="AK265" s="381"/>
      <c r="AL265" s="381"/>
      <c r="AM265" s="381"/>
      <c r="AN265" s="381"/>
      <c r="AO265" s="381"/>
    </row>
    <row r="266" spans="1:41" ht="15.75" customHeight="1">
      <c r="A266" s="298" t="s">
        <v>833</v>
      </c>
      <c r="B266" s="327">
        <f>('Pivot Table for Data Exchange'!$K$295)*100</f>
        <v>0</v>
      </c>
      <c r="C266" s="327">
        <f>('Pivot Table for Data Exchange'!$K$298)*100</f>
        <v>0</v>
      </c>
      <c r="D266" s="328">
        <f>SUM(E266:G266)</f>
        <v>0</v>
      </c>
      <c r="E266" s="327">
        <f>('Pivot Table for Data Exchange'!$K$301)*100</f>
        <v>0</v>
      </c>
      <c r="F266" s="327">
        <f>('Pivot Table for Data Exchange'!$K$304)*100</f>
        <v>0</v>
      </c>
      <c r="G266" s="335">
        <f>('Pivot Table for Data Exchange'!$K$307)*100</f>
        <v>0</v>
      </c>
      <c r="H266" s="327">
        <f>('Pivot Table for Data Exchange'!$K$310)*100</f>
        <v>0</v>
      </c>
      <c r="I266" s="298"/>
      <c r="J266" s="366"/>
      <c r="K266" s="366"/>
      <c r="L266" s="366"/>
      <c r="M266" s="366"/>
      <c r="N266" s="366"/>
      <c r="O266" s="366"/>
      <c r="P266" s="366"/>
      <c r="Q266" s="332">
        <f t="shared" si="34"/>
        <v>0</v>
      </c>
      <c r="R266" s="332"/>
      <c r="S266" s="381"/>
      <c r="T266" s="381"/>
      <c r="U266" s="381"/>
      <c r="V266" s="381"/>
      <c r="W266" s="381"/>
      <c r="X266" s="381"/>
      <c r="Y266" s="381"/>
      <c r="Z266" s="381"/>
      <c r="AA266" s="381"/>
      <c r="AB266" s="381"/>
      <c r="AC266" s="381"/>
      <c r="AD266" s="381"/>
      <c r="AE266" s="381"/>
      <c r="AF266" s="381"/>
      <c r="AG266" s="381"/>
      <c r="AH266" s="381"/>
      <c r="AI266" s="381"/>
      <c r="AJ266" s="381"/>
      <c r="AK266" s="381"/>
      <c r="AL266" s="381"/>
      <c r="AM266" s="381"/>
      <c r="AN266" s="381"/>
      <c r="AO266" s="381"/>
    </row>
    <row r="267" spans="1:41" ht="15.75" customHeight="1">
      <c r="A267" s="298" t="s">
        <v>834</v>
      </c>
      <c r="B267" s="327">
        <f>('Pivot Table for Data Exchange'!$K$331)*100</f>
        <v>0</v>
      </c>
      <c r="C267" s="327">
        <f>('Pivot Table for Data Exchange'!$K$334)*100</f>
        <v>0</v>
      </c>
      <c r="D267" s="328">
        <f>SUM(E267:G267)</f>
        <v>0</v>
      </c>
      <c r="E267" s="327">
        <f>('Pivot Table for Data Exchange'!$K$337)*100</f>
        <v>0</v>
      </c>
      <c r="F267" s="327">
        <f>('Pivot Table for Data Exchange'!$K$340)*100</f>
        <v>0</v>
      </c>
      <c r="G267" s="335">
        <f>('Pivot Table for Data Exchange'!$K$343)*100</f>
        <v>0</v>
      </c>
      <c r="H267" s="327">
        <f>('Pivot Table for Data Exchange'!$K$346)*100</f>
        <v>0</v>
      </c>
      <c r="I267" s="298"/>
      <c r="J267" s="366"/>
      <c r="K267" s="366"/>
      <c r="L267" s="366"/>
      <c r="M267" s="366"/>
      <c r="N267" s="366"/>
      <c r="O267" s="366"/>
      <c r="P267" s="366"/>
      <c r="Q267" s="332">
        <f t="shared" si="34"/>
        <v>0</v>
      </c>
      <c r="R267" s="332"/>
      <c r="S267" s="381"/>
      <c r="T267" s="381"/>
      <c r="U267" s="381"/>
      <c r="V267" s="381"/>
      <c r="W267" s="381"/>
      <c r="X267" s="381"/>
      <c r="Y267" s="381"/>
      <c r="Z267" s="381"/>
      <c r="AA267" s="381"/>
      <c r="AB267" s="381"/>
      <c r="AC267" s="381"/>
      <c r="AD267" s="381"/>
      <c r="AE267" s="381"/>
      <c r="AF267" s="381"/>
      <c r="AG267" s="381"/>
      <c r="AH267" s="381"/>
      <c r="AI267" s="381"/>
      <c r="AJ267" s="381"/>
      <c r="AK267" s="381"/>
      <c r="AL267" s="381"/>
      <c r="AM267" s="381"/>
      <c r="AN267" s="381"/>
      <c r="AO267" s="381"/>
    </row>
    <row r="268" spans="1:41" ht="15.75" customHeight="1">
      <c r="A268" s="298" t="s">
        <v>835</v>
      </c>
      <c r="B268" s="327">
        <f>('Pivot Table for Data Exchange'!$K$367)*100</f>
        <v>65.774356444117757</v>
      </c>
      <c r="C268" s="327">
        <f>('Pivot Table for Data Exchange'!$K$370)*100</f>
        <v>1.5103990977882722E-3</v>
      </c>
      <c r="D268" s="328">
        <f>SUM(E268:G268)</f>
        <v>34.224133156784461</v>
      </c>
      <c r="E268" s="327">
        <f>('Pivot Table for Data Exchange'!$K$373)*100</f>
        <v>34.224133156784461</v>
      </c>
      <c r="F268" s="327">
        <f>('Pivot Table for Data Exchange'!$K$376)*100</f>
        <v>0</v>
      </c>
      <c r="G268" s="335">
        <f>('Pivot Table for Data Exchange'!$K$379)*100</f>
        <v>0</v>
      </c>
      <c r="H268" s="327">
        <f>('Pivot Table for Data Exchange'!$K$382)*100</f>
        <v>0</v>
      </c>
      <c r="I268" s="298"/>
      <c r="J268" s="366"/>
      <c r="K268" s="366"/>
      <c r="L268" s="366"/>
      <c r="M268" s="366"/>
      <c r="N268" s="366"/>
      <c r="O268" s="366"/>
      <c r="P268" s="366"/>
      <c r="Q268" s="332">
        <f t="shared" si="34"/>
        <v>100</v>
      </c>
      <c r="R268" s="332"/>
      <c r="S268" s="381"/>
      <c r="T268" s="385"/>
      <c r="U268" s="381"/>
      <c r="V268" s="381"/>
      <c r="W268" s="381"/>
      <c r="X268" s="381"/>
      <c r="Y268" s="381"/>
      <c r="Z268" s="381"/>
      <c r="AA268" s="381"/>
      <c r="AB268" s="381"/>
      <c r="AC268" s="381"/>
      <c r="AD268" s="381"/>
      <c r="AE268" s="381"/>
      <c r="AF268" s="381"/>
      <c r="AG268" s="381"/>
      <c r="AH268" s="381"/>
      <c r="AI268" s="381"/>
      <c r="AJ268" s="381"/>
      <c r="AK268" s="381"/>
      <c r="AL268" s="381"/>
      <c r="AM268" s="381"/>
      <c r="AN268" s="381"/>
      <c r="AO268" s="381"/>
    </row>
    <row r="269" spans="1:41" ht="15.75" customHeight="1">
      <c r="A269" s="298" t="s">
        <v>836</v>
      </c>
      <c r="B269" s="327">
        <f>('Pivot Table for Data Exchange'!$K$403)*100</f>
        <v>0</v>
      </c>
      <c r="C269" s="327">
        <f>('Pivot Table for Data Exchange'!$K$406)*100</f>
        <v>0</v>
      </c>
      <c r="D269" s="328">
        <f>SUM(E269:G269)</f>
        <v>0</v>
      </c>
      <c r="E269" s="327">
        <f>('Pivot Table for Data Exchange'!$K$409)*100</f>
        <v>0</v>
      </c>
      <c r="F269" s="327">
        <f>('Pivot Table for Data Exchange'!$K$412)*100</f>
        <v>0</v>
      </c>
      <c r="G269" s="335">
        <f>('Pivot Table for Data Exchange'!$K$415)*100</f>
        <v>0</v>
      </c>
      <c r="H269" s="327">
        <f>('Pivot Table for Data Exchange'!$K$418)*100</f>
        <v>0</v>
      </c>
      <c r="I269" s="298"/>
      <c r="J269" s="366"/>
      <c r="K269" s="366"/>
      <c r="L269" s="366"/>
      <c r="M269" s="366"/>
      <c r="N269" s="366"/>
      <c r="O269" s="366"/>
      <c r="P269" s="366"/>
      <c r="Q269" s="332">
        <f t="shared" si="34"/>
        <v>0</v>
      </c>
      <c r="R269" s="332"/>
      <c r="S269" s="381"/>
      <c r="T269" s="381"/>
      <c r="U269" s="381"/>
      <c r="V269" s="381"/>
      <c r="W269" s="381"/>
      <c r="X269" s="381"/>
      <c r="Y269" s="381"/>
      <c r="Z269" s="381"/>
      <c r="AA269" s="381"/>
      <c r="AB269" s="381"/>
      <c r="AC269" s="381"/>
      <c r="AD269" s="381"/>
      <c r="AE269" s="381"/>
      <c r="AF269" s="381"/>
      <c r="AG269" s="381"/>
      <c r="AH269" s="381"/>
      <c r="AI269" s="381"/>
      <c r="AJ269" s="381"/>
      <c r="AK269" s="381"/>
      <c r="AL269" s="381"/>
      <c r="AM269" s="381"/>
      <c r="AN269" s="381"/>
      <c r="AO269" s="381"/>
    </row>
    <row r="270" spans="1:41" ht="15.75" customHeight="1">
      <c r="B270" s="327"/>
      <c r="C270" s="327"/>
      <c r="D270" s="328"/>
      <c r="E270" s="327"/>
      <c r="F270" s="327"/>
      <c r="G270" s="335"/>
      <c r="H270" s="327"/>
      <c r="I270" s="298"/>
      <c r="J270" s="366"/>
      <c r="K270" s="366"/>
      <c r="L270" s="366"/>
      <c r="M270" s="366"/>
      <c r="N270" s="366"/>
      <c r="O270" s="366"/>
      <c r="P270" s="366"/>
      <c r="Q270" s="332">
        <f t="shared" si="34"/>
        <v>0</v>
      </c>
      <c r="R270" s="332"/>
      <c r="S270" s="381"/>
      <c r="T270" s="381"/>
      <c r="U270" s="381"/>
      <c r="V270" s="381"/>
      <c r="W270" s="381"/>
      <c r="X270" s="381"/>
      <c r="Y270" s="381"/>
      <c r="Z270" s="381"/>
      <c r="AA270" s="381"/>
      <c r="AB270" s="381"/>
      <c r="AC270" s="381"/>
      <c r="AD270" s="381"/>
      <c r="AE270" s="381"/>
      <c r="AF270" s="381"/>
      <c r="AG270" s="381"/>
      <c r="AH270" s="381"/>
      <c r="AI270" s="381"/>
      <c r="AJ270" s="381"/>
      <c r="AK270" s="381"/>
      <c r="AL270" s="381"/>
      <c r="AM270" s="381"/>
      <c r="AN270" s="381"/>
      <c r="AO270" s="381"/>
    </row>
    <row r="271" spans="1:41" ht="15.75" customHeight="1">
      <c r="A271" s="298" t="s">
        <v>837</v>
      </c>
      <c r="B271" s="327">
        <f>('Pivot Table for Data Exchange'!$K$439)*100</f>
        <v>0</v>
      </c>
      <c r="C271" s="327">
        <f>('Pivot Table for Data Exchange'!$K$442)*100</f>
        <v>0</v>
      </c>
      <c r="D271" s="328">
        <f>SUM(E271:G271)</f>
        <v>0</v>
      </c>
      <c r="E271" s="327">
        <f>('Pivot Table for Data Exchange'!$K$445)*100</f>
        <v>0</v>
      </c>
      <c r="F271" s="327">
        <f>('Pivot Table for Data Exchange'!$K$448)*100</f>
        <v>0</v>
      </c>
      <c r="G271" s="335">
        <f>('Pivot Table for Data Exchange'!$K$451)*100</f>
        <v>0</v>
      </c>
      <c r="H271" s="327">
        <f>('Pivot Table for Data Exchange'!$K$454)*100</f>
        <v>0</v>
      </c>
      <c r="I271" s="298"/>
      <c r="J271" s="366"/>
      <c r="K271" s="366"/>
      <c r="L271" s="366"/>
      <c r="M271" s="366"/>
      <c r="N271" s="366"/>
      <c r="O271" s="366"/>
      <c r="P271" s="366"/>
      <c r="Q271" s="332">
        <f t="shared" si="34"/>
        <v>0</v>
      </c>
      <c r="R271" s="332"/>
      <c r="S271" s="381"/>
      <c r="T271" s="381"/>
      <c r="U271" s="381"/>
      <c r="V271" s="381"/>
      <c r="W271" s="381"/>
      <c r="X271" s="381"/>
      <c r="Y271" s="381"/>
      <c r="Z271" s="381"/>
      <c r="AA271" s="381"/>
      <c r="AB271" s="381"/>
      <c r="AC271" s="381"/>
      <c r="AD271" s="381"/>
      <c r="AE271" s="381"/>
      <c r="AF271" s="381"/>
      <c r="AG271" s="381"/>
      <c r="AH271" s="381"/>
      <c r="AI271" s="381"/>
      <c r="AJ271" s="381"/>
      <c r="AK271" s="381"/>
      <c r="AL271" s="381"/>
      <c r="AM271" s="381"/>
      <c r="AN271" s="381"/>
      <c r="AO271" s="381"/>
    </row>
    <row r="272" spans="1:41" ht="15.75" customHeight="1">
      <c r="A272" s="298" t="s">
        <v>838</v>
      </c>
      <c r="B272" s="327">
        <f>('Pivot Table for Data Exchange'!$K$475)*100</f>
        <v>72.794311035767933</v>
      </c>
      <c r="C272" s="327">
        <f>('Pivot Table for Data Exchange'!$K$478)*100</f>
        <v>1.6954708914247965</v>
      </c>
      <c r="D272" s="328">
        <f>SUM(E272:G272)</f>
        <v>25.51021807280727</v>
      </c>
      <c r="E272" s="327">
        <f>('Pivot Table for Data Exchange'!$K$481)*100</f>
        <v>25.435304236184251</v>
      </c>
      <c r="F272" s="327">
        <f>('Pivot Table for Data Exchange'!$K$484)*100</f>
        <v>7.491383662301887E-2</v>
      </c>
      <c r="G272" s="334">
        <f>('Pivot Table for Data Exchange'!$K$487)*100</f>
        <v>0</v>
      </c>
      <c r="H272" s="327">
        <f>('Pivot Table for Data Exchange'!$K$490)*100</f>
        <v>0</v>
      </c>
      <c r="I272" s="298"/>
      <c r="J272" s="366"/>
      <c r="K272" s="366"/>
      <c r="L272" s="366"/>
      <c r="M272" s="366"/>
      <c r="N272" s="366"/>
      <c r="O272" s="366"/>
      <c r="P272" s="366"/>
      <c r="Q272" s="332">
        <f t="shared" si="34"/>
        <v>100</v>
      </c>
      <c r="R272" s="332"/>
      <c r="S272" s="381"/>
      <c r="T272" s="381"/>
      <c r="U272" s="381"/>
      <c r="V272" s="381"/>
      <c r="W272" s="381"/>
      <c r="X272" s="381"/>
      <c r="Y272" s="381"/>
      <c r="Z272" s="381"/>
      <c r="AA272" s="381"/>
      <c r="AB272" s="381"/>
      <c r="AC272" s="381"/>
      <c r="AD272" s="381"/>
      <c r="AE272" s="381"/>
      <c r="AF272" s="381"/>
      <c r="AG272" s="381"/>
      <c r="AH272" s="381"/>
      <c r="AI272" s="381"/>
      <c r="AJ272" s="381"/>
      <c r="AK272" s="381"/>
      <c r="AL272" s="381"/>
      <c r="AM272" s="381"/>
      <c r="AN272" s="381"/>
      <c r="AO272" s="381"/>
    </row>
    <row r="273" spans="1:41" ht="15.75" customHeight="1">
      <c r="A273" s="298" t="s">
        <v>839</v>
      </c>
      <c r="B273" s="327">
        <f>('Pivot Table for Data Exchange'!$K$511)*100</f>
        <v>0</v>
      </c>
      <c r="C273" s="327">
        <f>('Pivot Table for Data Exchange'!$K$514)*100</f>
        <v>0</v>
      </c>
      <c r="D273" s="328">
        <f>SUM(E273:G273)</f>
        <v>0</v>
      </c>
      <c r="E273" s="327">
        <f>('Pivot Table for Data Exchange'!$K$517)*100</f>
        <v>0</v>
      </c>
      <c r="F273" s="327">
        <f>('Pivot Table for Data Exchange'!$K$520)*100</f>
        <v>0</v>
      </c>
      <c r="G273" s="335">
        <f>('Pivot Table for Data Exchange'!$K$523)*100</f>
        <v>0</v>
      </c>
      <c r="H273" s="327">
        <f>('Pivot Table for Data Exchange'!$K$526)*100</f>
        <v>0</v>
      </c>
      <c r="I273" s="298"/>
      <c r="J273" s="366"/>
      <c r="K273" s="366"/>
      <c r="L273" s="366"/>
      <c r="M273" s="366"/>
      <c r="N273" s="366"/>
      <c r="O273" s="366"/>
      <c r="P273" s="366"/>
      <c r="Q273" s="332">
        <f t="shared" si="34"/>
        <v>0</v>
      </c>
      <c r="R273" s="332"/>
      <c r="S273" s="381"/>
      <c r="T273" s="381"/>
      <c r="U273" s="381"/>
      <c r="V273" s="381"/>
      <c r="W273" s="381"/>
      <c r="X273" s="381"/>
      <c r="Y273" s="381"/>
      <c r="Z273" s="381"/>
      <c r="AA273" s="381"/>
      <c r="AB273" s="381"/>
      <c r="AC273" s="381"/>
      <c r="AD273" s="381"/>
      <c r="AE273" s="381"/>
      <c r="AF273" s="381"/>
      <c r="AG273" s="381"/>
      <c r="AH273" s="381"/>
      <c r="AI273" s="381"/>
      <c r="AJ273" s="381"/>
      <c r="AK273" s="381"/>
      <c r="AL273" s="381"/>
      <c r="AM273" s="381"/>
      <c r="AN273" s="381"/>
      <c r="AO273" s="381"/>
    </row>
    <row r="274" spans="1:41" ht="15.75" customHeight="1">
      <c r="A274" s="304" t="s">
        <v>840</v>
      </c>
      <c r="B274" s="340">
        <f>('Pivot Table for Data Exchange'!$K$547)*100</f>
        <v>61.431555269922875</v>
      </c>
      <c r="C274" s="340">
        <f>('Pivot Table for Data Exchange'!$K$550)*100</f>
        <v>6.7698769739258173</v>
      </c>
      <c r="D274" s="341">
        <f>SUM(E274:G274)</f>
        <v>31.7985677561513</v>
      </c>
      <c r="E274" s="340">
        <f>('Pivot Table for Data Exchange'!$K$553)*100</f>
        <v>31.796272493573262</v>
      </c>
      <c r="F274" s="340">
        <f>('Pivot Table for Data Exchange'!$K$556)*100</f>
        <v>0</v>
      </c>
      <c r="G274" s="342">
        <f>('Pivot Table for Data Exchange'!$K$559)*100</f>
        <v>2.2952625780389277E-3</v>
      </c>
      <c r="H274" s="340">
        <f>('Pivot Table for Data Exchange'!$K$562)*100</f>
        <v>0</v>
      </c>
      <c r="I274" s="298"/>
      <c r="J274" s="366"/>
      <c r="K274" s="366"/>
      <c r="L274" s="366"/>
      <c r="M274" s="366"/>
      <c r="N274" s="366"/>
      <c r="O274" s="366"/>
      <c r="P274" s="366"/>
      <c r="Q274" s="332">
        <f t="shared" si="34"/>
        <v>99.999999999999986</v>
      </c>
      <c r="R274" s="332"/>
      <c r="S274" s="381"/>
      <c r="T274" s="381"/>
      <c r="U274" s="381"/>
      <c r="V274" s="381"/>
      <c r="W274" s="381"/>
      <c r="X274" s="381"/>
      <c r="Y274" s="381"/>
      <c r="Z274" s="381"/>
      <c r="AA274" s="381"/>
      <c r="AB274" s="381"/>
      <c r="AC274" s="381"/>
      <c r="AD274" s="381"/>
      <c r="AE274" s="381"/>
      <c r="AF274" s="381"/>
      <c r="AG274" s="381"/>
      <c r="AH274" s="381"/>
      <c r="AI274" s="381"/>
      <c r="AJ274" s="381"/>
      <c r="AK274" s="381"/>
      <c r="AL274" s="381"/>
      <c r="AM274" s="381"/>
      <c r="AN274" s="381"/>
      <c r="AO274" s="381"/>
    </row>
    <row r="275" spans="1:41" s="371" customFormat="1" ht="12.75" customHeight="1">
      <c r="A275" s="346" t="s">
        <v>866</v>
      </c>
      <c r="B275" s="347"/>
      <c r="C275" s="347"/>
      <c r="D275" s="348"/>
      <c r="E275" s="347"/>
      <c r="F275" s="348"/>
      <c r="G275" s="348"/>
      <c r="H275" s="347"/>
      <c r="I275" s="356"/>
      <c r="J275" s="347"/>
      <c r="K275" s="347"/>
      <c r="L275" s="348"/>
      <c r="M275" s="347"/>
      <c r="N275" s="348"/>
      <c r="O275" s="348"/>
      <c r="P275" s="347"/>
      <c r="Q275" s="332">
        <f t="shared" si="34"/>
        <v>0</v>
      </c>
      <c r="R275" s="367"/>
      <c r="S275" s="384"/>
      <c r="T275" s="384"/>
      <c r="U275" s="384"/>
      <c r="V275" s="384"/>
      <c r="W275" s="384"/>
      <c r="X275" s="384"/>
      <c r="Y275" s="384"/>
      <c r="Z275" s="384"/>
      <c r="AA275" s="384"/>
      <c r="AB275" s="384"/>
      <c r="AC275" s="384"/>
      <c r="AD275" s="384"/>
      <c r="AE275" s="384"/>
      <c r="AF275" s="384"/>
      <c r="AG275" s="384"/>
      <c r="AH275" s="384"/>
      <c r="AI275" s="384"/>
      <c r="AJ275" s="384"/>
      <c r="AK275" s="384"/>
      <c r="AL275" s="384"/>
      <c r="AM275" s="384"/>
      <c r="AN275" s="384"/>
      <c r="AO275" s="384"/>
    </row>
    <row r="276" spans="1:41" s="371" customFormat="1" ht="27" customHeight="1">
      <c r="A276" s="455" t="s">
        <v>883</v>
      </c>
      <c r="B276" s="456"/>
      <c r="C276" s="456"/>
      <c r="D276" s="456"/>
      <c r="E276" s="456"/>
      <c r="F276" s="456"/>
      <c r="G276" s="456"/>
      <c r="H276" s="456"/>
      <c r="I276" s="356"/>
      <c r="J276" s="345"/>
      <c r="K276" s="345"/>
      <c r="L276" s="345"/>
      <c r="M276" s="345"/>
      <c r="N276" s="345"/>
      <c r="O276" s="345"/>
      <c r="P276" s="358"/>
      <c r="Q276" s="332">
        <f t="shared" si="34"/>
        <v>0</v>
      </c>
      <c r="R276" s="368"/>
    </row>
    <row r="277" spans="1:41" s="371" customFormat="1" ht="13.5" customHeight="1">
      <c r="A277" s="298"/>
      <c r="B277" s="369"/>
      <c r="C277" s="369"/>
      <c r="D277" s="370"/>
      <c r="E277" s="369"/>
      <c r="F277" s="370"/>
      <c r="G277" s="370"/>
      <c r="H277" s="369"/>
      <c r="I277" s="356"/>
      <c r="J277" s="345"/>
      <c r="K277" s="345"/>
      <c r="L277" s="345"/>
      <c r="M277" s="345"/>
      <c r="N277" s="345"/>
      <c r="O277" s="345"/>
      <c r="P277" s="345"/>
      <c r="Q277" s="332">
        <f t="shared" si="34"/>
        <v>0</v>
      </c>
      <c r="R277" s="368"/>
    </row>
    <row r="278" spans="1:41" s="371" customFormat="1">
      <c r="A278" s="345"/>
      <c r="B278" s="345"/>
      <c r="C278" s="345"/>
      <c r="D278" s="345"/>
      <c r="E278" s="345"/>
      <c r="F278" s="345"/>
      <c r="G278" s="345"/>
      <c r="H278" s="351" t="s">
        <v>980</v>
      </c>
      <c r="I278" s="372"/>
      <c r="J278" s="345"/>
      <c r="K278" s="345"/>
      <c r="L278" s="345"/>
      <c r="M278" s="345"/>
      <c r="N278" s="345"/>
      <c r="O278" s="345"/>
      <c r="P278" s="345"/>
      <c r="Q278" s="332">
        <f t="shared" si="34"/>
        <v>0</v>
      </c>
      <c r="R278" s="368"/>
    </row>
    <row r="279" spans="1:41" ht="18">
      <c r="A279" s="293" t="s">
        <v>884</v>
      </c>
      <c r="B279" s="294"/>
      <c r="C279" s="294"/>
      <c r="D279" s="294"/>
      <c r="E279" s="294"/>
      <c r="F279" s="294"/>
      <c r="G279" s="294"/>
      <c r="H279" s="294"/>
      <c r="Q279" s="332">
        <f t="shared" si="34"/>
        <v>0</v>
      </c>
    </row>
    <row r="280" spans="1:41">
      <c r="A280" s="299"/>
      <c r="B280" s="295"/>
      <c r="C280" s="295"/>
      <c r="D280" s="295"/>
      <c r="E280" s="295"/>
      <c r="F280" s="295"/>
      <c r="G280" s="295"/>
      <c r="H280" s="295"/>
      <c r="Q280" s="332">
        <f t="shared" si="34"/>
        <v>0</v>
      </c>
    </row>
    <row r="281" spans="1:41" ht="15.75">
      <c r="A281" s="301" t="s">
        <v>846</v>
      </c>
      <c r="B281" s="295"/>
      <c r="C281" s="295"/>
      <c r="D281" s="295"/>
      <c r="E281" s="295"/>
      <c r="F281" s="295"/>
      <c r="G281" s="295"/>
      <c r="H281" s="295"/>
      <c r="Q281" s="332">
        <f t="shared" si="34"/>
        <v>0</v>
      </c>
    </row>
    <row r="282" spans="1:41" ht="15.75">
      <c r="A282" s="301" t="s">
        <v>990</v>
      </c>
      <c r="B282" s="295"/>
      <c r="C282" s="295"/>
      <c r="D282" s="295"/>
      <c r="E282" s="295"/>
      <c r="F282" s="295"/>
      <c r="G282" s="295"/>
      <c r="H282" s="295"/>
      <c r="Q282" s="332">
        <f t="shared" ref="Q282:Q346" si="39">SUM(B282,C282,D282,H282)</f>
        <v>0</v>
      </c>
    </row>
    <row r="283" spans="1:41">
      <c r="A283" s="304"/>
      <c r="B283" s="305"/>
      <c r="C283" s="305"/>
      <c r="D283" s="305"/>
      <c r="E283" s="305"/>
      <c r="F283" s="305"/>
      <c r="G283" s="305"/>
      <c r="H283" s="305"/>
      <c r="Q283" s="332">
        <f t="shared" si="39"/>
        <v>0</v>
      </c>
    </row>
    <row r="284" spans="1:41">
      <c r="A284" s="309"/>
      <c r="B284" s="310" t="s">
        <v>848</v>
      </c>
      <c r="C284" s="310"/>
      <c r="D284" s="310"/>
      <c r="E284" s="310"/>
      <c r="F284" s="310"/>
      <c r="G284" s="310"/>
      <c r="H284" s="311"/>
      <c r="Q284" s="332">
        <f t="shared" si="39"/>
        <v>0</v>
      </c>
    </row>
    <row r="285" spans="1:41">
      <c r="A285" s="309"/>
      <c r="B285" s="310" t="s">
        <v>849</v>
      </c>
      <c r="C285" s="310"/>
      <c r="D285" s="450" t="s">
        <v>850</v>
      </c>
      <c r="E285" s="448"/>
      <c r="F285" s="448"/>
      <c r="G285" s="448"/>
      <c r="H285" s="317" t="s">
        <v>740</v>
      </c>
      <c r="Q285" s="332">
        <f t="shared" si="39"/>
        <v>0</v>
      </c>
    </row>
    <row r="286" spans="1:41" ht="36">
      <c r="A286" s="309"/>
      <c r="B286" s="318" t="s">
        <v>851</v>
      </c>
      <c r="C286" s="319" t="s">
        <v>852</v>
      </c>
      <c r="D286" s="320" t="s">
        <v>853</v>
      </c>
      <c r="E286" s="321" t="s">
        <v>8</v>
      </c>
      <c r="F286" s="318" t="s">
        <v>854</v>
      </c>
      <c r="G286" s="322" t="s">
        <v>864</v>
      </c>
      <c r="H286" s="323" t="s">
        <v>856</v>
      </c>
      <c r="Q286" s="332">
        <f t="shared" si="39"/>
        <v>0</v>
      </c>
    </row>
    <row r="287" spans="1:41" ht="15.75" customHeight="1">
      <c r="A287" s="353" t="s">
        <v>825</v>
      </c>
      <c r="B287" s="380">
        <f>('Pivot Table for Data Exchange'!$L$7)*100</f>
        <v>62.08671658150606</v>
      </c>
      <c r="C287" s="327">
        <f>('Pivot Table for Data Exchange'!$L$10)*100</f>
        <v>3.8027800347913336</v>
      </c>
      <c r="D287" s="328">
        <f>SUM(E287:G287)</f>
        <v>34.110503383702607</v>
      </c>
      <c r="E287" s="327">
        <f>('Pivot Table for Data Exchange'!$L$13)*100</f>
        <v>33.635258126612101</v>
      </c>
      <c r="F287" s="327">
        <f>('Pivot Table for Data Exchange'!$L$16)*100</f>
        <v>0.47524525709050652</v>
      </c>
      <c r="G287" s="331">
        <f>('Pivot Table for Data Exchange'!$L$19)*100</f>
        <v>0</v>
      </c>
      <c r="H287" s="327">
        <f>('Pivot Table for Data Exchange'!$L$22)*100</f>
        <v>0</v>
      </c>
      <c r="I287" s="298"/>
      <c r="J287" s="366"/>
      <c r="K287" s="366"/>
      <c r="L287" s="366"/>
      <c r="M287" s="366"/>
      <c r="N287" s="366"/>
      <c r="O287" s="366"/>
      <c r="P287" s="366"/>
      <c r="Q287" s="332">
        <f t="shared" si="39"/>
        <v>100</v>
      </c>
      <c r="R287" s="332"/>
      <c r="S287" s="381"/>
      <c r="T287" s="381"/>
      <c r="U287" s="381"/>
      <c r="V287" s="381"/>
      <c r="W287" s="381"/>
      <c r="X287" s="381"/>
      <c r="Y287" s="381"/>
      <c r="Z287" s="381"/>
      <c r="AA287" s="381"/>
      <c r="AB287" s="381"/>
      <c r="AC287" s="381"/>
      <c r="AD287" s="381"/>
      <c r="AE287" s="381"/>
      <c r="AF287" s="381"/>
      <c r="AG287" s="381"/>
      <c r="AH287" s="381"/>
      <c r="AI287" s="381"/>
      <c r="AJ287" s="381"/>
      <c r="AK287" s="381"/>
      <c r="AL287" s="381"/>
      <c r="AM287" s="381"/>
      <c r="AN287" s="381"/>
      <c r="AO287" s="381"/>
    </row>
    <row r="288" spans="1:41" ht="15.75" customHeight="1">
      <c r="A288" s="298" t="s">
        <v>826</v>
      </c>
      <c r="B288" s="327">
        <f>('Pivot Table for Data Exchange'!$L$43)*100</f>
        <v>60.777673040667921</v>
      </c>
      <c r="C288" s="327">
        <f>('Pivot Table for Data Exchange'!$L$46)*100</f>
        <v>10.517775383786695</v>
      </c>
      <c r="D288" s="328">
        <f t="shared" ref="D288:D290" si="40">SUM(E288:G288)</f>
        <v>28.7018583355777</v>
      </c>
      <c r="E288" s="327">
        <f>('Pivot Table for Data Exchange'!$L$49)*100</f>
        <v>28.7018583355777</v>
      </c>
      <c r="F288" s="339">
        <f>('Pivot Table for Data Exchange'!$L$52)*100</f>
        <v>0</v>
      </c>
      <c r="G288" s="335">
        <f>('Pivot Table for Data Exchange'!$L$55)*100</f>
        <v>0</v>
      </c>
      <c r="H288" s="327">
        <f>('Pivot Table for Data Exchange'!$L$58)*100</f>
        <v>2.6932399676811206E-3</v>
      </c>
      <c r="I288" s="298"/>
      <c r="J288" s="366"/>
      <c r="K288" s="366"/>
      <c r="L288" s="366"/>
      <c r="M288" s="366"/>
      <c r="N288" s="366"/>
      <c r="O288" s="366"/>
      <c r="P288" s="366"/>
      <c r="Q288" s="332">
        <f t="shared" si="39"/>
        <v>100</v>
      </c>
      <c r="R288" s="332"/>
      <c r="S288" s="381"/>
      <c r="T288" s="381"/>
      <c r="U288" s="381"/>
      <c r="V288" s="381"/>
      <c r="W288" s="381"/>
      <c r="X288" s="381"/>
      <c r="Y288" s="381"/>
      <c r="Z288" s="381"/>
      <c r="AA288" s="381"/>
      <c r="AB288" s="381"/>
      <c r="AC288" s="381"/>
      <c r="AD288" s="381"/>
      <c r="AE288" s="381"/>
      <c r="AF288" s="381"/>
      <c r="AG288" s="381"/>
      <c r="AH288" s="381"/>
      <c r="AI288" s="381"/>
      <c r="AJ288" s="381"/>
      <c r="AK288" s="381"/>
      <c r="AL288" s="381"/>
      <c r="AM288" s="381"/>
      <c r="AN288" s="381"/>
      <c r="AO288" s="381"/>
    </row>
    <row r="289" spans="1:41" ht="15.75" customHeight="1">
      <c r="A289" s="298" t="s">
        <v>827</v>
      </c>
      <c r="B289" s="327">
        <f>('Pivot Table for Data Exchange'!$L$79)*100</f>
        <v>0</v>
      </c>
      <c r="C289" s="327">
        <f>('Pivot Table for Data Exchange'!$L$82)*100</f>
        <v>0</v>
      </c>
      <c r="D289" s="328">
        <f t="shared" si="40"/>
        <v>0</v>
      </c>
      <c r="E289" s="327">
        <f>('Pivot Table for Data Exchange'!$L$85)*100</f>
        <v>0</v>
      </c>
      <c r="F289" s="327">
        <f>('Pivot Table for Data Exchange'!$L$88)*100</f>
        <v>0</v>
      </c>
      <c r="G289" s="334">
        <f>('Pivot Table for Data Exchange'!$L$91)*100</f>
        <v>0</v>
      </c>
      <c r="H289" s="327">
        <f>('Pivot Table for Data Exchange'!$L$94)*100</f>
        <v>0</v>
      </c>
      <c r="I289" s="298"/>
      <c r="J289" s="366"/>
      <c r="K289" s="366"/>
      <c r="L289" s="366"/>
      <c r="M289" s="366"/>
      <c r="N289" s="366"/>
      <c r="O289" s="366"/>
      <c r="P289" s="366"/>
      <c r="Q289" s="332">
        <f t="shared" si="39"/>
        <v>0</v>
      </c>
      <c r="R289" s="332"/>
      <c r="S289" s="381"/>
      <c r="T289" s="385"/>
      <c r="U289" s="381"/>
      <c r="V289" s="381"/>
      <c r="W289" s="381"/>
      <c r="X289" s="381"/>
      <c r="Y289" s="381"/>
      <c r="Z289" s="381"/>
      <c r="AA289" s="381"/>
      <c r="AB289" s="381"/>
      <c r="AC289" s="381"/>
      <c r="AD289" s="381"/>
      <c r="AE289" s="381"/>
      <c r="AF289" s="381"/>
      <c r="AG289" s="381"/>
      <c r="AH289" s="381"/>
      <c r="AI289" s="381"/>
      <c r="AJ289" s="381"/>
      <c r="AK289" s="381"/>
      <c r="AL289" s="381"/>
      <c r="AM289" s="381"/>
      <c r="AN289" s="381"/>
      <c r="AO289" s="381"/>
    </row>
    <row r="290" spans="1:41" ht="15.75" customHeight="1">
      <c r="A290" s="298" t="s">
        <v>865</v>
      </c>
      <c r="B290" s="327">
        <f>('Pivot Table for Data Exchange'!$L$115)*100</f>
        <v>65.369080351523124</v>
      </c>
      <c r="C290" s="327">
        <f>('Pivot Table for Data Exchange'!$L$118)*100</f>
        <v>4.0038521785631467</v>
      </c>
      <c r="D290" s="328">
        <f t="shared" si="40"/>
        <v>30.627067469913726</v>
      </c>
      <c r="E290" s="327">
        <f>('Pivot Table for Data Exchange'!$L$121)*100</f>
        <v>30.627067469913726</v>
      </c>
      <c r="F290" s="327">
        <f>('Pivot Table for Data Exchange'!$L$124)*100</f>
        <v>0</v>
      </c>
      <c r="G290" s="335">
        <f>('Pivot Table for Data Exchange'!$L$127)*100</f>
        <v>0</v>
      </c>
      <c r="H290" s="339">
        <f>('Pivot Table for Data Exchange'!$L$130)*100</f>
        <v>0</v>
      </c>
      <c r="I290" s="298"/>
      <c r="J290" s="366"/>
      <c r="K290" s="366"/>
      <c r="L290" s="366"/>
      <c r="M290" s="366"/>
      <c r="N290" s="366"/>
      <c r="O290" s="366"/>
      <c r="P290" s="366"/>
      <c r="Q290" s="332">
        <f t="shared" si="39"/>
        <v>100</v>
      </c>
      <c r="R290" s="332"/>
      <c r="S290" s="381"/>
      <c r="U290" s="381"/>
      <c r="V290" s="381"/>
      <c r="W290" s="381"/>
      <c r="X290" s="381"/>
      <c r="Y290" s="381"/>
      <c r="Z290" s="381"/>
      <c r="AA290" s="381"/>
      <c r="AB290" s="381"/>
      <c r="AC290" s="381"/>
      <c r="AD290" s="381"/>
      <c r="AE290" s="381"/>
      <c r="AF290" s="381"/>
      <c r="AG290" s="381"/>
      <c r="AH290" s="381"/>
      <c r="AI290" s="381"/>
      <c r="AJ290" s="381"/>
      <c r="AK290" s="381"/>
      <c r="AL290" s="381"/>
      <c r="AM290" s="381"/>
      <c r="AN290" s="381"/>
      <c r="AO290" s="381"/>
    </row>
    <row r="291" spans="1:41" ht="15.75" customHeight="1">
      <c r="B291" s="327"/>
      <c r="C291" s="327"/>
      <c r="D291" s="328"/>
      <c r="E291" s="327"/>
      <c r="F291" s="327"/>
      <c r="G291" s="335"/>
      <c r="H291" s="327"/>
      <c r="I291" s="298"/>
      <c r="J291" s="366"/>
      <c r="K291" s="366"/>
      <c r="L291" s="366"/>
      <c r="M291" s="366"/>
      <c r="N291" s="366"/>
      <c r="O291" s="366"/>
      <c r="P291" s="366"/>
      <c r="Q291" s="332">
        <f t="shared" si="39"/>
        <v>0</v>
      </c>
      <c r="R291" s="332"/>
      <c r="S291" s="381"/>
      <c r="U291" s="381"/>
      <c r="V291" s="381"/>
      <c r="W291" s="381"/>
      <c r="X291" s="381"/>
      <c r="Y291" s="381"/>
      <c r="Z291" s="381"/>
      <c r="AA291" s="381"/>
      <c r="AB291" s="381"/>
      <c r="AC291" s="381"/>
      <c r="AD291" s="381"/>
      <c r="AE291" s="381"/>
      <c r="AF291" s="381"/>
      <c r="AG291" s="381"/>
      <c r="AH291" s="381"/>
      <c r="AI291" s="381"/>
      <c r="AJ291" s="381"/>
      <c r="AK291" s="381"/>
      <c r="AL291" s="381"/>
      <c r="AM291" s="381"/>
      <c r="AN291" s="381"/>
      <c r="AO291" s="381"/>
    </row>
    <row r="292" spans="1:41" ht="15.75" customHeight="1">
      <c r="A292" s="298" t="s">
        <v>829</v>
      </c>
      <c r="B292" s="327">
        <f>('Pivot Table for Data Exchange'!$L$151)*100</f>
        <v>0</v>
      </c>
      <c r="C292" s="327">
        <f>('Pivot Table for Data Exchange'!$L$154)*100</f>
        <v>0</v>
      </c>
      <c r="D292" s="328">
        <f t="shared" ref="D292:D293" si="41">SUM(E292:G292)</f>
        <v>0</v>
      </c>
      <c r="E292" s="327">
        <f>('Pivot Table for Data Exchange'!$L$157)*100</f>
        <v>0</v>
      </c>
      <c r="F292" s="327">
        <f>('Pivot Table for Data Exchange'!$L$160)*100</f>
        <v>0</v>
      </c>
      <c r="G292" s="335">
        <f>('Pivot Table for Data Exchange'!$L$163)*100</f>
        <v>0</v>
      </c>
      <c r="H292" s="327">
        <f>('Pivot Table for Data Exchange'!$L$166)*100</f>
        <v>0</v>
      </c>
      <c r="I292" s="298"/>
      <c r="J292" s="366"/>
      <c r="K292" s="366"/>
      <c r="L292" s="366"/>
      <c r="M292" s="366"/>
      <c r="N292" s="366"/>
      <c r="O292" s="366"/>
      <c r="P292" s="366"/>
      <c r="Q292" s="332">
        <f t="shared" si="39"/>
        <v>0</v>
      </c>
      <c r="R292" s="332"/>
      <c r="S292" s="381"/>
      <c r="T292" s="381"/>
      <c r="U292" s="381"/>
      <c r="V292" s="381"/>
      <c r="W292" s="381"/>
      <c r="X292" s="381"/>
      <c r="Y292" s="381"/>
      <c r="Z292" s="381"/>
      <c r="AA292" s="381"/>
      <c r="AB292" s="381"/>
      <c r="AC292" s="381"/>
      <c r="AD292" s="381"/>
      <c r="AE292" s="381"/>
      <c r="AF292" s="381"/>
      <c r="AG292" s="381"/>
      <c r="AH292" s="381"/>
      <c r="AI292" s="381"/>
      <c r="AJ292" s="381"/>
      <c r="AK292" s="381"/>
      <c r="AL292" s="381"/>
      <c r="AM292" s="381"/>
      <c r="AN292" s="381"/>
      <c r="AO292" s="381"/>
    </row>
    <row r="293" spans="1:41" ht="15.75" customHeight="1">
      <c r="A293" s="298" t="s">
        <v>830</v>
      </c>
      <c r="B293" s="327">
        <f>('Pivot Table for Data Exchange'!$L$187)*100</f>
        <v>60.296206660703952</v>
      </c>
      <c r="C293" s="327">
        <f>('Pivot Table for Data Exchange'!$L$190)*100</f>
        <v>4.2523807018466879</v>
      </c>
      <c r="D293" s="328">
        <f t="shared" si="41"/>
        <v>35.451412637449359</v>
      </c>
      <c r="E293" s="327">
        <f>('Pivot Table for Data Exchange'!$L$193)*100</f>
        <v>35.451412637449359</v>
      </c>
      <c r="F293" s="339">
        <f>('Pivot Table for Data Exchange'!$L$196)*100</f>
        <v>0</v>
      </c>
      <c r="G293" s="334">
        <f>('Pivot Table for Data Exchange'!$L$199)*100</f>
        <v>0</v>
      </c>
      <c r="H293" s="327">
        <f>('Pivot Table for Data Exchange'!$L$202)*100</f>
        <v>0</v>
      </c>
      <c r="I293" s="298"/>
      <c r="J293" s="366"/>
      <c r="K293" s="366"/>
      <c r="L293" s="366"/>
      <c r="M293" s="366"/>
      <c r="N293" s="366"/>
      <c r="O293" s="366"/>
      <c r="P293" s="366"/>
      <c r="Q293" s="332">
        <f t="shared" si="39"/>
        <v>100</v>
      </c>
      <c r="R293" s="332"/>
      <c r="S293" s="381"/>
      <c r="T293" s="381"/>
      <c r="U293" s="381"/>
      <c r="V293" s="381"/>
      <c r="W293" s="381"/>
      <c r="X293" s="381"/>
      <c r="Y293" s="381"/>
      <c r="Z293" s="381"/>
      <c r="AA293" s="381"/>
      <c r="AB293" s="381"/>
      <c r="AC293" s="381"/>
      <c r="AD293" s="381"/>
      <c r="AE293" s="381"/>
      <c r="AF293" s="381"/>
      <c r="AG293" s="381"/>
      <c r="AH293" s="381"/>
      <c r="AI293" s="381"/>
      <c r="AJ293" s="381"/>
      <c r="AK293" s="381"/>
      <c r="AL293" s="381"/>
      <c r="AM293" s="381"/>
      <c r="AN293" s="381"/>
      <c r="AO293" s="381"/>
    </row>
    <row r="294" spans="1:41" ht="15.75" customHeight="1">
      <c r="A294" s="298" t="s">
        <v>831</v>
      </c>
      <c r="B294" s="327">
        <f>('Pivot Table for Data Exchange'!$L$223)*100</f>
        <v>78.126127260262322</v>
      </c>
      <c r="C294" s="327">
        <f>('Pivot Table for Data Exchange'!$L$226)*100</f>
        <v>0</v>
      </c>
      <c r="D294" s="328">
        <f>SUM(E294:G294)</f>
        <v>21.873872739737688</v>
      </c>
      <c r="E294" s="327">
        <f>('Pivot Table for Data Exchange'!$L$229)*100</f>
        <v>21.873872739737688</v>
      </c>
      <c r="F294" s="327">
        <f>('Pivot Table for Data Exchange'!$L$232)*100</f>
        <v>0</v>
      </c>
      <c r="G294" s="335">
        <f>('Pivot Table for Data Exchange'!$L$235)*100</f>
        <v>0</v>
      </c>
      <c r="H294" s="327">
        <f>('Pivot Table for Data Exchange'!$L$238)*100</f>
        <v>0</v>
      </c>
      <c r="I294" s="298"/>
      <c r="J294" s="366"/>
      <c r="K294" s="366"/>
      <c r="L294" s="366"/>
      <c r="M294" s="366"/>
      <c r="N294" s="366"/>
      <c r="O294" s="366"/>
      <c r="P294" s="366"/>
      <c r="Q294" s="332">
        <f t="shared" si="39"/>
        <v>100.00000000000001</v>
      </c>
      <c r="R294" s="332"/>
      <c r="S294" s="381"/>
      <c r="T294" s="385"/>
      <c r="U294" s="381"/>
      <c r="V294" s="381"/>
      <c r="W294" s="381"/>
      <c r="X294" s="381"/>
      <c r="Y294" s="381"/>
      <c r="Z294" s="381"/>
      <c r="AA294" s="381"/>
      <c r="AB294" s="381"/>
      <c r="AC294" s="381"/>
      <c r="AD294" s="381"/>
      <c r="AE294" s="381"/>
      <c r="AF294" s="381"/>
      <c r="AG294" s="381"/>
      <c r="AH294" s="381"/>
      <c r="AI294" s="381"/>
      <c r="AJ294" s="381"/>
      <c r="AK294" s="381"/>
      <c r="AL294" s="381"/>
      <c r="AM294" s="381"/>
      <c r="AN294" s="381"/>
      <c r="AO294" s="381"/>
    </row>
    <row r="295" spans="1:41" ht="15.75" customHeight="1">
      <c r="A295" s="298" t="s">
        <v>832</v>
      </c>
      <c r="B295" s="327">
        <f>('Pivot Table for Data Exchange'!$L$259)*100</f>
        <v>65.370143326563294</v>
      </c>
      <c r="C295" s="327">
        <f>('Pivot Table for Data Exchange'!$L$262)*100</f>
        <v>16.296533660276417</v>
      </c>
      <c r="D295" s="328">
        <f>SUM(E295:G295)</f>
        <v>18.333323013160282</v>
      </c>
      <c r="E295" s="327">
        <f>('Pivot Table for Data Exchange'!$L$265)*100</f>
        <v>18.303704116510623</v>
      </c>
      <c r="F295" s="339">
        <f>('Pivot Table for Data Exchange'!$L$268)*100</f>
        <v>2.961889664965902E-2</v>
      </c>
      <c r="G295" s="334">
        <f>('Pivot Table for Data Exchange'!$L$271)*100</f>
        <v>0</v>
      </c>
      <c r="H295" s="327">
        <f>('Pivot Table for Data Exchange'!$L$274)*100</f>
        <v>0</v>
      </c>
      <c r="I295" s="298"/>
      <c r="J295" s="366"/>
      <c r="K295" s="366"/>
      <c r="L295" s="366"/>
      <c r="M295" s="366"/>
      <c r="N295" s="366"/>
      <c r="O295" s="366"/>
      <c r="P295" s="366"/>
      <c r="Q295" s="332">
        <f t="shared" si="39"/>
        <v>100</v>
      </c>
      <c r="R295" s="332"/>
      <c r="S295" s="381"/>
      <c r="U295" s="381"/>
      <c r="V295" s="381"/>
      <c r="W295" s="381"/>
      <c r="X295" s="381"/>
      <c r="Y295" s="381"/>
      <c r="Z295" s="381"/>
      <c r="AA295" s="381"/>
      <c r="AB295" s="381"/>
      <c r="AC295" s="381"/>
      <c r="AD295" s="381"/>
      <c r="AE295" s="381"/>
      <c r="AF295" s="381"/>
      <c r="AG295" s="381"/>
      <c r="AH295" s="381"/>
      <c r="AI295" s="381"/>
      <c r="AJ295" s="381"/>
      <c r="AK295" s="381"/>
      <c r="AL295" s="381"/>
      <c r="AM295" s="381"/>
      <c r="AN295" s="381"/>
      <c r="AO295" s="381"/>
    </row>
    <row r="296" spans="1:41" ht="9.75" customHeight="1">
      <c r="B296" s="327"/>
      <c r="C296" s="327"/>
      <c r="D296" s="328"/>
      <c r="E296" s="327"/>
      <c r="F296" s="327"/>
      <c r="G296" s="335"/>
      <c r="H296" s="327"/>
      <c r="I296" s="298"/>
      <c r="J296" s="366"/>
      <c r="K296" s="366"/>
      <c r="L296" s="366"/>
      <c r="M296" s="366"/>
      <c r="N296" s="366"/>
      <c r="O296" s="366"/>
      <c r="P296" s="366"/>
      <c r="Q296" s="332">
        <f t="shared" si="39"/>
        <v>0</v>
      </c>
      <c r="R296" s="332"/>
      <c r="S296" s="381"/>
      <c r="U296" s="381"/>
      <c r="V296" s="381"/>
      <c r="W296" s="381"/>
      <c r="X296" s="381"/>
      <c r="Y296" s="381"/>
      <c r="Z296" s="381"/>
      <c r="AA296" s="381"/>
      <c r="AB296" s="381"/>
      <c r="AC296" s="381"/>
      <c r="AD296" s="381"/>
      <c r="AE296" s="381"/>
      <c r="AF296" s="381"/>
      <c r="AG296" s="381"/>
      <c r="AH296" s="381"/>
      <c r="AI296" s="381"/>
      <c r="AJ296" s="381"/>
      <c r="AK296" s="381"/>
      <c r="AL296" s="381"/>
      <c r="AM296" s="381"/>
      <c r="AN296" s="381"/>
      <c r="AO296" s="381"/>
    </row>
    <row r="297" spans="1:41" ht="15.75" customHeight="1">
      <c r="A297" s="298" t="s">
        <v>880</v>
      </c>
      <c r="B297" s="327">
        <f>('Pivot Table for Data Exchange'!$L$295)*100</f>
        <v>66.641305015464653</v>
      </c>
      <c r="C297" s="327">
        <f>('Pivot Table for Data Exchange'!$L$298)*100</f>
        <v>5.1427682638562793</v>
      </c>
      <c r="D297" s="328">
        <f>SUM(E297:G297)</f>
        <v>28.215926720679057</v>
      </c>
      <c r="E297" s="327">
        <f>('Pivot Table for Data Exchange'!$L$301)*100</f>
        <v>28.215926720679057</v>
      </c>
      <c r="F297" s="327">
        <f>('Pivot Table for Data Exchange'!$L$304)*100</f>
        <v>0</v>
      </c>
      <c r="G297" s="335">
        <f>('Pivot Table for Data Exchange'!$L$307)*100</f>
        <v>0</v>
      </c>
      <c r="H297" s="327">
        <f>('Pivot Table for Data Exchange'!$L$310)*100</f>
        <v>0</v>
      </c>
      <c r="I297" s="373"/>
      <c r="J297" s="366"/>
      <c r="K297" s="366"/>
      <c r="L297" s="366"/>
      <c r="M297" s="366"/>
      <c r="N297" s="366"/>
      <c r="O297" s="366"/>
      <c r="P297" s="366"/>
      <c r="Q297" s="332">
        <f t="shared" si="39"/>
        <v>100</v>
      </c>
      <c r="R297" s="332"/>
      <c r="S297" s="381"/>
      <c r="T297" s="381"/>
      <c r="U297" s="381"/>
      <c r="V297" s="381"/>
      <c r="W297" s="381"/>
      <c r="X297" s="381"/>
      <c r="Y297" s="381"/>
      <c r="Z297" s="381"/>
      <c r="AA297" s="381"/>
      <c r="AB297" s="381"/>
      <c r="AC297" s="381"/>
      <c r="AD297" s="381"/>
      <c r="AE297" s="381"/>
      <c r="AF297" s="381"/>
      <c r="AG297" s="381"/>
      <c r="AH297" s="381"/>
      <c r="AI297" s="381"/>
      <c r="AJ297" s="381"/>
      <c r="AK297" s="381"/>
      <c r="AL297" s="381"/>
      <c r="AM297" s="381"/>
      <c r="AN297" s="381"/>
      <c r="AO297" s="381"/>
    </row>
    <row r="298" spans="1:41" ht="15.75" customHeight="1">
      <c r="A298" s="298" t="s">
        <v>834</v>
      </c>
      <c r="B298" s="327">
        <f>('Pivot Table for Data Exchange'!$L$331)*100</f>
        <v>52.910217624155706</v>
      </c>
      <c r="C298" s="327">
        <f>('Pivot Table for Data Exchange'!$L$334)*100</f>
        <v>2.817376355144356</v>
      </c>
      <c r="D298" s="328">
        <f>SUM(E298:G298)</f>
        <v>44.272406020699933</v>
      </c>
      <c r="E298" s="327">
        <f>('Pivot Table for Data Exchange'!$L$337)*100</f>
        <v>44.170187087988388</v>
      </c>
      <c r="F298" s="339">
        <f>('Pivot Table for Data Exchange'!$L$340)*100</f>
        <v>0.10221893271154547</v>
      </c>
      <c r="G298" s="335">
        <f>('Pivot Table for Data Exchange'!$L$343)*100</f>
        <v>0</v>
      </c>
      <c r="H298" s="327">
        <f>('Pivot Table for Data Exchange'!$L$346)*100</f>
        <v>0</v>
      </c>
      <c r="I298" s="298"/>
      <c r="J298" s="366"/>
      <c r="K298" s="366"/>
      <c r="L298" s="366"/>
      <c r="M298" s="366"/>
      <c r="N298" s="366"/>
      <c r="O298" s="366"/>
      <c r="P298" s="366"/>
      <c r="Q298" s="332">
        <f t="shared" si="39"/>
        <v>100</v>
      </c>
      <c r="R298" s="332"/>
      <c r="S298" s="381"/>
      <c r="T298" s="381"/>
      <c r="U298" s="381"/>
      <c r="V298" s="381"/>
      <c r="W298" s="381"/>
      <c r="X298" s="381"/>
      <c r="Y298" s="381"/>
      <c r="Z298" s="381"/>
      <c r="AA298" s="381"/>
      <c r="AB298" s="381"/>
      <c r="AC298" s="381"/>
      <c r="AD298" s="381"/>
      <c r="AE298" s="381"/>
      <c r="AF298" s="381"/>
      <c r="AG298" s="381"/>
      <c r="AH298" s="381"/>
      <c r="AI298" s="381"/>
      <c r="AJ298" s="381"/>
      <c r="AK298" s="381"/>
      <c r="AL298" s="381"/>
      <c r="AM298" s="381"/>
      <c r="AN298" s="381"/>
      <c r="AO298" s="381"/>
    </row>
    <row r="299" spans="1:41" ht="15.75" customHeight="1">
      <c r="A299" s="298" t="s">
        <v>835</v>
      </c>
      <c r="B299" s="327">
        <f>('Pivot Table for Data Exchange'!$L$367)*100</f>
        <v>69.502749494188194</v>
      </c>
      <c r="C299" s="327">
        <f>('Pivot Table for Data Exchange'!$L$370)*100</f>
        <v>4.1284487584286724</v>
      </c>
      <c r="D299" s="328">
        <f>SUM(E299:G299)</f>
        <v>26.368801747383134</v>
      </c>
      <c r="E299" s="327">
        <f>('Pivot Table for Data Exchange'!$L$373)*100</f>
        <v>25.965066972044067</v>
      </c>
      <c r="F299" s="327">
        <f>('Pivot Table for Data Exchange'!$L$376)*100</f>
        <v>0</v>
      </c>
      <c r="G299" s="335">
        <f>('Pivot Table for Data Exchange'!$L$379)*100</f>
        <v>0.40373477533906771</v>
      </c>
      <c r="H299" s="339">
        <f>('Pivot Table for Data Exchange'!$L$382)*100</f>
        <v>0</v>
      </c>
      <c r="I299" s="298"/>
      <c r="J299" s="366"/>
      <c r="K299" s="366"/>
      <c r="L299" s="366"/>
      <c r="M299" s="366"/>
      <c r="N299" s="366"/>
      <c r="O299" s="366"/>
      <c r="P299" s="366"/>
      <c r="Q299" s="332">
        <f t="shared" si="39"/>
        <v>100</v>
      </c>
      <c r="R299" s="332"/>
      <c r="S299" s="381"/>
      <c r="T299" s="385"/>
      <c r="U299" s="381"/>
      <c r="V299" s="381"/>
      <c r="W299" s="381"/>
      <c r="X299" s="381"/>
      <c r="Y299" s="381"/>
      <c r="Z299" s="381"/>
      <c r="AA299" s="381"/>
      <c r="AB299" s="381"/>
      <c r="AC299" s="381"/>
      <c r="AD299" s="381"/>
      <c r="AE299" s="381"/>
      <c r="AF299" s="381"/>
      <c r="AG299" s="381"/>
      <c r="AH299" s="381"/>
      <c r="AI299" s="381"/>
      <c r="AJ299" s="381"/>
      <c r="AK299" s="381"/>
      <c r="AL299" s="381"/>
      <c r="AM299" s="381"/>
      <c r="AN299" s="381"/>
      <c r="AO299" s="381"/>
    </row>
    <row r="300" spans="1:41" ht="15.75" customHeight="1">
      <c r="A300" s="298" t="s">
        <v>836</v>
      </c>
      <c r="B300" s="327">
        <f>('Pivot Table for Data Exchange'!$L$403)*100</f>
        <v>56.493687072898567</v>
      </c>
      <c r="C300" s="327">
        <f>('Pivot Table for Data Exchange'!$L$406)*100</f>
        <v>6.9224029498724153</v>
      </c>
      <c r="D300" s="328">
        <f>SUM(E300:G300)</f>
        <v>36.583909977229013</v>
      </c>
      <c r="E300" s="327">
        <f>('Pivot Table for Data Exchange'!$L$409)*100</f>
        <v>36.583909977229013</v>
      </c>
      <c r="F300" s="327">
        <f>('Pivot Table for Data Exchange'!$L$412)*100</f>
        <v>0</v>
      </c>
      <c r="G300" s="335">
        <f>('Pivot Table for Data Exchange'!$L$415)*100</f>
        <v>0</v>
      </c>
      <c r="H300" s="327">
        <f>('Pivot Table for Data Exchange'!$L$418)*100</f>
        <v>0</v>
      </c>
      <c r="I300" s="298"/>
      <c r="J300" s="366"/>
      <c r="K300" s="366"/>
      <c r="L300" s="366"/>
      <c r="M300" s="366"/>
      <c r="N300" s="366"/>
      <c r="O300" s="366"/>
      <c r="P300" s="366"/>
      <c r="Q300" s="332">
        <f t="shared" si="39"/>
        <v>100</v>
      </c>
      <c r="R300" s="332"/>
      <c r="S300" s="381"/>
      <c r="T300" s="381"/>
      <c r="U300" s="381"/>
      <c r="V300" s="381"/>
      <c r="W300" s="381"/>
      <c r="X300" s="381"/>
      <c r="Y300" s="381"/>
      <c r="Z300" s="381"/>
      <c r="AA300" s="381"/>
      <c r="AB300" s="381"/>
      <c r="AC300" s="381"/>
      <c r="AD300" s="381"/>
      <c r="AE300" s="381"/>
      <c r="AF300" s="381"/>
      <c r="AG300" s="381"/>
      <c r="AH300" s="381"/>
      <c r="AI300" s="381"/>
      <c r="AJ300" s="381"/>
      <c r="AK300" s="381"/>
      <c r="AL300" s="381"/>
      <c r="AM300" s="381"/>
      <c r="AN300" s="381"/>
      <c r="AO300" s="381"/>
    </row>
    <row r="301" spans="1:41" ht="11.25" customHeight="1">
      <c r="B301" s="327"/>
      <c r="C301" s="327"/>
      <c r="D301" s="328"/>
      <c r="E301" s="327"/>
      <c r="F301" s="327"/>
      <c r="G301" s="335"/>
      <c r="H301" s="327"/>
      <c r="I301" s="298"/>
      <c r="J301" s="366"/>
      <c r="K301" s="366"/>
      <c r="L301" s="366"/>
      <c r="M301" s="366"/>
      <c r="N301" s="366"/>
      <c r="O301" s="366"/>
      <c r="P301" s="366"/>
      <c r="Q301" s="332">
        <f t="shared" si="39"/>
        <v>0</v>
      </c>
      <c r="R301" s="332"/>
      <c r="S301" s="381"/>
      <c r="T301" s="381"/>
      <c r="U301" s="381"/>
      <c r="V301" s="381"/>
      <c r="W301" s="381"/>
      <c r="X301" s="381"/>
      <c r="Y301" s="381"/>
      <c r="Z301" s="381"/>
      <c r="AA301" s="381"/>
      <c r="AB301" s="381"/>
      <c r="AC301" s="381"/>
      <c r="AD301" s="381"/>
      <c r="AE301" s="381"/>
      <c r="AF301" s="381"/>
      <c r="AG301" s="381"/>
      <c r="AH301" s="381"/>
      <c r="AI301" s="381"/>
      <c r="AJ301" s="381"/>
      <c r="AK301" s="381"/>
      <c r="AL301" s="381"/>
      <c r="AM301" s="381"/>
      <c r="AN301" s="381"/>
      <c r="AO301" s="381"/>
    </row>
    <row r="302" spans="1:41" ht="15.75" customHeight="1">
      <c r="A302" s="298" t="s">
        <v>837</v>
      </c>
      <c r="B302" s="327">
        <f>('Pivot Table for Data Exchange'!$L$439)*100</f>
        <v>40.752880829144559</v>
      </c>
      <c r="C302" s="327">
        <f>('Pivot Table for Data Exchange'!$L$442)*100</f>
        <v>31.077980742784771</v>
      </c>
      <c r="D302" s="328">
        <f>SUM(E302:G302)</f>
        <v>28.028902800524722</v>
      </c>
      <c r="E302" s="327">
        <f>('Pivot Table for Data Exchange'!$L$445)*100</f>
        <v>23.203280540297651</v>
      </c>
      <c r="F302" s="327">
        <f>('Pivot Table for Data Exchange'!$L$448)*100</f>
        <v>2.0373214655585144E-3</v>
      </c>
      <c r="G302" s="335">
        <f>('Pivot Table for Data Exchange'!$L$451)*100</f>
        <v>4.8235849387615124</v>
      </c>
      <c r="H302" s="327">
        <f>('Pivot Table for Data Exchange'!$L$454)*100</f>
        <v>0.14023562754594443</v>
      </c>
      <c r="I302" s="298"/>
      <c r="J302" s="366"/>
      <c r="K302" s="366"/>
      <c r="L302" s="366"/>
      <c r="M302" s="366"/>
      <c r="N302" s="366"/>
      <c r="O302" s="366"/>
      <c r="P302" s="366"/>
      <c r="Q302" s="332">
        <f t="shared" si="39"/>
        <v>100</v>
      </c>
      <c r="R302" s="332"/>
      <c r="S302" s="381"/>
      <c r="T302" s="381"/>
      <c r="U302" s="381"/>
      <c r="V302" s="381"/>
      <c r="W302" s="381"/>
      <c r="X302" s="381"/>
      <c r="Y302" s="381"/>
      <c r="Z302" s="381"/>
      <c r="AA302" s="381"/>
      <c r="AB302" s="381"/>
      <c r="AC302" s="381"/>
      <c r="AD302" s="381"/>
      <c r="AE302" s="381"/>
      <c r="AF302" s="381"/>
      <c r="AG302" s="381"/>
      <c r="AH302" s="381"/>
      <c r="AI302" s="381"/>
      <c r="AJ302" s="381"/>
      <c r="AK302" s="381"/>
      <c r="AL302" s="381"/>
      <c r="AM302" s="381"/>
      <c r="AN302" s="381"/>
      <c r="AO302" s="381"/>
    </row>
    <row r="303" spans="1:41" ht="15.75" customHeight="1">
      <c r="A303" s="298" t="s">
        <v>838</v>
      </c>
      <c r="B303" s="327">
        <f>('Pivot Table for Data Exchange'!$L$475)*100</f>
        <v>57.388970265668334</v>
      </c>
      <c r="C303" s="327">
        <f>('Pivot Table for Data Exchange'!$L$478)*100</f>
        <v>12.789484150021286</v>
      </c>
      <c r="D303" s="328">
        <f>SUM(E303:G303)</f>
        <v>29.821545584310375</v>
      </c>
      <c r="E303" s="327">
        <f>('Pivot Table for Data Exchange'!$L$481)*100</f>
        <v>29.770832058345718</v>
      </c>
      <c r="F303" s="327">
        <f>('Pivot Table for Data Exchange'!$L$484)*100</f>
        <v>4.7910936371874283E-2</v>
      </c>
      <c r="G303" s="335">
        <f>('Pivot Table for Data Exchange'!$L$487)*100</f>
        <v>2.8025895927837321E-3</v>
      </c>
      <c r="H303" s="327">
        <f>('Pivot Table for Data Exchange'!$L$490)*100</f>
        <v>0</v>
      </c>
      <c r="I303" s="298"/>
      <c r="J303" s="366"/>
      <c r="K303" s="366"/>
      <c r="L303" s="366"/>
      <c r="M303" s="366"/>
      <c r="N303" s="366"/>
      <c r="O303" s="366"/>
      <c r="P303" s="366"/>
      <c r="Q303" s="332">
        <f t="shared" si="39"/>
        <v>99.999999999999986</v>
      </c>
      <c r="R303" s="332"/>
      <c r="S303" s="381"/>
      <c r="T303" s="381"/>
      <c r="U303" s="381"/>
      <c r="V303" s="381"/>
      <c r="W303" s="381"/>
      <c r="X303" s="381"/>
      <c r="Y303" s="381"/>
      <c r="Z303" s="381"/>
      <c r="AA303" s="381"/>
      <c r="AB303" s="381"/>
      <c r="AC303" s="381"/>
      <c r="AD303" s="381"/>
      <c r="AE303" s="381"/>
      <c r="AF303" s="381"/>
      <c r="AG303" s="381"/>
      <c r="AH303" s="381"/>
      <c r="AI303" s="381"/>
      <c r="AJ303" s="381"/>
      <c r="AK303" s="381"/>
      <c r="AL303" s="381"/>
      <c r="AM303" s="381"/>
      <c r="AN303" s="381"/>
      <c r="AO303" s="381"/>
    </row>
    <row r="304" spans="1:41" ht="15.75" customHeight="1">
      <c r="A304" s="298" t="s">
        <v>839</v>
      </c>
      <c r="B304" s="327">
        <f>('Pivot Table for Data Exchange'!$L$511)*100</f>
        <v>61.340879734589635</v>
      </c>
      <c r="C304" s="327">
        <f>('Pivot Table for Data Exchange'!$L$514)*100</f>
        <v>9.7343216546342308</v>
      </c>
      <c r="D304" s="328">
        <f>SUM(E304:G304)</f>
        <v>28.924798610776136</v>
      </c>
      <c r="E304" s="327">
        <f>('Pivot Table for Data Exchange'!$L$517)*100</f>
        <v>28.881974927510601</v>
      </c>
      <c r="F304" s="327">
        <f>('Pivot Table for Data Exchange'!$L$520)*100</f>
        <v>4.2823683265533638E-2</v>
      </c>
      <c r="G304" s="335">
        <f>('Pivot Table for Data Exchange'!$L$523)*100</f>
        <v>0</v>
      </c>
      <c r="H304" s="327">
        <f>('Pivot Table for Data Exchange'!$L$526)*100</f>
        <v>0</v>
      </c>
      <c r="I304" s="298"/>
      <c r="J304" s="366"/>
      <c r="K304" s="366"/>
      <c r="L304" s="366"/>
      <c r="M304" s="366"/>
      <c r="N304" s="366"/>
      <c r="O304" s="366"/>
      <c r="P304" s="366"/>
      <c r="Q304" s="332">
        <f t="shared" si="39"/>
        <v>100</v>
      </c>
      <c r="R304" s="332"/>
      <c r="S304" s="381"/>
      <c r="T304" s="381"/>
      <c r="U304" s="381"/>
      <c r="V304" s="381"/>
      <c r="W304" s="381"/>
      <c r="X304" s="381"/>
      <c r="Y304" s="381"/>
      <c r="Z304" s="381"/>
      <c r="AA304" s="381"/>
      <c r="AB304" s="381"/>
      <c r="AC304" s="381"/>
      <c r="AD304" s="381"/>
      <c r="AE304" s="381"/>
      <c r="AF304" s="381"/>
      <c r="AG304" s="381"/>
      <c r="AH304" s="381"/>
      <c r="AI304" s="381"/>
      <c r="AJ304" s="381"/>
      <c r="AK304" s="381"/>
      <c r="AL304" s="381"/>
      <c r="AM304" s="381"/>
      <c r="AN304" s="381"/>
      <c r="AO304" s="381"/>
    </row>
    <row r="305" spans="1:41" ht="15.75" customHeight="1">
      <c r="A305" s="304" t="s">
        <v>840</v>
      </c>
      <c r="B305" s="340">
        <f>('Pivot Table for Data Exchange'!$L$547)*100</f>
        <v>0</v>
      </c>
      <c r="C305" s="340">
        <f>('Pivot Table for Data Exchange'!$L$550)*100</f>
        <v>0</v>
      </c>
      <c r="D305" s="341">
        <f>SUM(E305:G305)</f>
        <v>0</v>
      </c>
      <c r="E305" s="340">
        <f>('Pivot Table for Data Exchange'!$L$553)*100</f>
        <v>0</v>
      </c>
      <c r="F305" s="340">
        <f>('Pivot Table for Data Exchange'!$L$556)*100</f>
        <v>0</v>
      </c>
      <c r="G305" s="342">
        <f>('Pivot Table for Data Exchange'!$L$559)*100</f>
        <v>0</v>
      </c>
      <c r="H305" s="340">
        <f>('Pivot Table for Data Exchange'!$L$562)*100</f>
        <v>0</v>
      </c>
      <c r="I305" s="298"/>
      <c r="J305" s="366"/>
      <c r="K305" s="366"/>
      <c r="L305" s="366"/>
      <c r="M305" s="366"/>
      <c r="N305" s="366"/>
      <c r="O305" s="366"/>
      <c r="P305" s="366"/>
      <c r="Q305" s="332">
        <f t="shared" si="39"/>
        <v>0</v>
      </c>
      <c r="R305" s="332"/>
      <c r="S305" s="381"/>
      <c r="T305" s="381"/>
      <c r="U305" s="381"/>
      <c r="V305" s="381"/>
      <c r="W305" s="381"/>
      <c r="X305" s="381"/>
      <c r="Y305" s="381"/>
      <c r="Z305" s="381"/>
      <c r="AA305" s="381"/>
      <c r="AB305" s="381"/>
      <c r="AC305" s="381"/>
      <c r="AD305" s="381"/>
      <c r="AE305" s="381"/>
      <c r="AF305" s="381"/>
      <c r="AG305" s="381"/>
      <c r="AH305" s="381"/>
      <c r="AI305" s="381"/>
      <c r="AJ305" s="381"/>
      <c r="AK305" s="381"/>
      <c r="AL305" s="381"/>
      <c r="AM305" s="381"/>
      <c r="AN305" s="381"/>
      <c r="AO305" s="381"/>
    </row>
    <row r="306" spans="1:41" s="371" customFormat="1" ht="13.5" customHeight="1">
      <c r="A306" s="346" t="s">
        <v>866</v>
      </c>
      <c r="B306" s="347"/>
      <c r="C306" s="347"/>
      <c r="D306" s="348"/>
      <c r="E306" s="347"/>
      <c r="F306" s="348"/>
      <c r="G306" s="348"/>
      <c r="H306" s="347"/>
      <c r="I306" s="356"/>
      <c r="J306" s="347"/>
      <c r="K306" s="347"/>
      <c r="L306" s="348"/>
      <c r="M306" s="347"/>
      <c r="N306" s="348"/>
      <c r="O306" s="348"/>
      <c r="P306" s="347"/>
      <c r="Q306" s="332">
        <f t="shared" si="39"/>
        <v>0</v>
      </c>
      <c r="R306" s="367"/>
      <c r="S306" s="384"/>
      <c r="T306" s="384"/>
      <c r="U306" s="384"/>
      <c r="V306" s="384"/>
      <c r="W306" s="384"/>
      <c r="X306" s="384"/>
      <c r="Y306" s="384"/>
      <c r="Z306" s="384"/>
      <c r="AA306" s="384"/>
      <c r="AB306" s="384"/>
      <c r="AC306" s="384"/>
      <c r="AD306" s="384"/>
      <c r="AE306" s="384"/>
      <c r="AF306" s="384"/>
      <c r="AG306" s="384"/>
      <c r="AH306" s="384"/>
      <c r="AI306" s="384"/>
      <c r="AJ306" s="384"/>
      <c r="AK306" s="384"/>
      <c r="AL306" s="384"/>
      <c r="AM306" s="384"/>
      <c r="AN306" s="384"/>
      <c r="AO306" s="384"/>
    </row>
    <row r="307" spans="1:41" s="371" customFormat="1" ht="24" customHeight="1">
      <c r="A307" s="455" t="s">
        <v>881</v>
      </c>
      <c r="B307" s="456"/>
      <c r="C307" s="456"/>
      <c r="D307" s="456"/>
      <c r="E307" s="456"/>
      <c r="F307" s="456"/>
      <c r="G307" s="456"/>
      <c r="H307" s="456"/>
      <c r="I307" s="356"/>
      <c r="J307" s="345"/>
      <c r="K307" s="345"/>
      <c r="L307" s="345"/>
      <c r="M307" s="345"/>
      <c r="N307" s="345"/>
      <c r="O307" s="345"/>
      <c r="P307" s="358"/>
      <c r="Q307" s="332">
        <f t="shared" si="39"/>
        <v>0</v>
      </c>
      <c r="R307" s="368"/>
    </row>
    <row r="308" spans="1:41" s="371" customFormat="1" ht="13.5" customHeight="1">
      <c r="A308" s="356"/>
      <c r="B308" s="345"/>
      <c r="C308" s="345"/>
      <c r="D308" s="345"/>
      <c r="E308" s="345"/>
      <c r="F308" s="345"/>
      <c r="G308" s="345"/>
      <c r="H308" s="345"/>
      <c r="I308" s="356"/>
      <c r="J308" s="345"/>
      <c r="K308" s="345"/>
      <c r="L308" s="345"/>
      <c r="M308" s="345"/>
      <c r="N308" s="345"/>
      <c r="O308" s="345"/>
      <c r="P308" s="345"/>
      <c r="Q308" s="332">
        <f t="shared" si="39"/>
        <v>0</v>
      </c>
      <c r="R308" s="368"/>
    </row>
    <row r="309" spans="1:41" s="371" customFormat="1">
      <c r="A309" s="345"/>
      <c r="B309" s="345"/>
      <c r="C309" s="345"/>
      <c r="D309" s="345"/>
      <c r="E309" s="345"/>
      <c r="F309" s="345"/>
      <c r="G309" s="345"/>
      <c r="H309" s="351" t="s">
        <v>980</v>
      </c>
      <c r="I309" s="372"/>
      <c r="J309" s="345"/>
      <c r="K309" s="345"/>
      <c r="L309" s="345"/>
      <c r="M309" s="345"/>
      <c r="N309" s="345"/>
      <c r="O309" s="345"/>
      <c r="P309" s="345"/>
      <c r="Q309" s="332">
        <f t="shared" si="39"/>
        <v>0</v>
      </c>
      <c r="R309" s="368"/>
    </row>
    <row r="310" spans="1:41" ht="18">
      <c r="A310" s="293" t="s">
        <v>885</v>
      </c>
      <c r="B310" s="294"/>
      <c r="C310" s="294"/>
      <c r="D310" s="294"/>
      <c r="E310" s="294"/>
      <c r="F310" s="294"/>
      <c r="G310" s="294"/>
      <c r="H310" s="294"/>
      <c r="Q310" s="332">
        <f t="shared" si="39"/>
        <v>0</v>
      </c>
    </row>
    <row r="311" spans="1:41">
      <c r="A311" s="299"/>
      <c r="B311" s="295"/>
      <c r="C311" s="295"/>
      <c r="D311" s="295"/>
      <c r="E311" s="295"/>
      <c r="F311" s="295"/>
      <c r="G311" s="295"/>
      <c r="H311" s="295"/>
      <c r="Q311" s="332">
        <f t="shared" si="39"/>
        <v>0</v>
      </c>
    </row>
    <row r="312" spans="1:41" ht="15.75">
      <c r="A312" s="301" t="s">
        <v>846</v>
      </c>
      <c r="B312" s="295"/>
      <c r="C312" s="295"/>
      <c r="D312" s="295"/>
      <c r="E312" s="295"/>
      <c r="F312" s="295"/>
      <c r="G312" s="295"/>
      <c r="H312" s="295"/>
      <c r="Q312" s="332">
        <f t="shared" si="39"/>
        <v>0</v>
      </c>
    </row>
    <row r="313" spans="1:41" ht="15.75">
      <c r="A313" s="301" t="s">
        <v>991</v>
      </c>
      <c r="B313" s="295"/>
      <c r="C313" s="295"/>
      <c r="D313" s="295"/>
      <c r="E313" s="295"/>
      <c r="F313" s="295"/>
      <c r="G313" s="295"/>
      <c r="H313" s="295"/>
      <c r="Q313" s="332">
        <f t="shared" si="39"/>
        <v>0</v>
      </c>
    </row>
    <row r="314" spans="1:41">
      <c r="A314" s="304"/>
      <c r="B314" s="305"/>
      <c r="C314" s="305"/>
      <c r="D314" s="305"/>
      <c r="E314" s="305"/>
      <c r="F314" s="305"/>
      <c r="G314" s="305"/>
      <c r="H314" s="305"/>
      <c r="Q314" s="332">
        <f t="shared" si="39"/>
        <v>0</v>
      </c>
    </row>
    <row r="315" spans="1:41">
      <c r="A315" s="309"/>
      <c r="B315" s="310" t="s">
        <v>848</v>
      </c>
      <c r="C315" s="310"/>
      <c r="D315" s="310"/>
      <c r="E315" s="310"/>
      <c r="F315" s="310"/>
      <c r="G315" s="310"/>
      <c r="H315" s="311"/>
      <c r="Q315" s="332">
        <f t="shared" si="39"/>
        <v>0</v>
      </c>
    </row>
    <row r="316" spans="1:41">
      <c r="A316" s="309"/>
      <c r="B316" s="310" t="s">
        <v>849</v>
      </c>
      <c r="C316" s="310"/>
      <c r="D316" s="450" t="s">
        <v>850</v>
      </c>
      <c r="E316" s="448"/>
      <c r="F316" s="448"/>
      <c r="G316" s="448"/>
      <c r="H316" s="317" t="s">
        <v>740</v>
      </c>
      <c r="Q316" s="332">
        <f t="shared" si="39"/>
        <v>0</v>
      </c>
    </row>
    <row r="317" spans="1:41" ht="36">
      <c r="A317" s="309"/>
      <c r="B317" s="318" t="s">
        <v>851</v>
      </c>
      <c r="C317" s="319" t="s">
        <v>852</v>
      </c>
      <c r="D317" s="320" t="s">
        <v>853</v>
      </c>
      <c r="E317" s="321" t="s">
        <v>8</v>
      </c>
      <c r="F317" s="318" t="s">
        <v>854</v>
      </c>
      <c r="G317" s="322" t="s">
        <v>864</v>
      </c>
      <c r="H317" s="323" t="s">
        <v>856</v>
      </c>
      <c r="Q317" s="332">
        <f t="shared" si="39"/>
        <v>0</v>
      </c>
    </row>
    <row r="318" spans="1:41" ht="15.75" customHeight="1">
      <c r="A318" s="353" t="s">
        <v>825</v>
      </c>
      <c r="B318" s="380">
        <f>('Pivot Table for Data Exchange'!$M$7)*100</f>
        <v>70.952828648585921</v>
      </c>
      <c r="C318" s="327">
        <f>('Pivot Table for Data Exchange'!$M$10)*100</f>
        <v>7.1523121495290347</v>
      </c>
      <c r="D318" s="328">
        <f>SUM(E318:G318)</f>
        <v>21.560098579332564</v>
      </c>
      <c r="E318" s="327">
        <f>('Pivot Table for Data Exchange'!$M$13)*100</f>
        <v>21.188065842811991</v>
      </c>
      <c r="F318" s="327">
        <f>('Pivot Table for Data Exchange'!$M$16)*100</f>
        <v>0.37203273652057439</v>
      </c>
      <c r="G318" s="331">
        <f>('Pivot Table for Data Exchange'!$M$19)*100</f>
        <v>0</v>
      </c>
      <c r="H318" s="327">
        <f>('Pivot Table for Data Exchange'!$M$22)*100</f>
        <v>0.3347606225524809</v>
      </c>
      <c r="I318" s="298"/>
      <c r="J318" s="366"/>
      <c r="K318" s="366"/>
      <c r="L318" s="366"/>
      <c r="M318" s="366"/>
      <c r="N318" s="366"/>
      <c r="O318" s="366"/>
      <c r="P318" s="366"/>
      <c r="Q318" s="332">
        <f t="shared" si="39"/>
        <v>100</v>
      </c>
      <c r="R318" s="332"/>
      <c r="S318" s="381"/>
      <c r="T318" s="381"/>
      <c r="U318" s="381"/>
      <c r="V318" s="381"/>
      <c r="W318" s="381"/>
      <c r="X318" s="381"/>
      <c r="Y318" s="381"/>
      <c r="Z318" s="381"/>
      <c r="AA318" s="381"/>
      <c r="AB318" s="381"/>
      <c r="AC318" s="381"/>
      <c r="AD318" s="381"/>
      <c r="AE318" s="381"/>
      <c r="AF318" s="381"/>
      <c r="AG318" s="381"/>
      <c r="AH318" s="381"/>
      <c r="AI318" s="381"/>
      <c r="AJ318" s="381"/>
      <c r="AK318" s="381"/>
      <c r="AL318" s="381"/>
      <c r="AM318" s="381"/>
      <c r="AN318" s="381"/>
      <c r="AO318" s="381"/>
    </row>
    <row r="319" spans="1:41" ht="15.75" customHeight="1">
      <c r="A319" s="298" t="s">
        <v>826</v>
      </c>
      <c r="B319" s="327">
        <f>('Pivot Table for Data Exchange'!$M$43)*100</f>
        <v>62.943070349641928</v>
      </c>
      <c r="C319" s="327">
        <f>('Pivot Table for Data Exchange'!$M$46)*100</f>
        <v>5.9281659344847641</v>
      </c>
      <c r="D319" s="328">
        <f t="shared" ref="D319:D321" si="42">SUM(E319:G319)</f>
        <v>31.061563459108143</v>
      </c>
      <c r="E319" s="327">
        <f>('Pivot Table for Data Exchange'!$M$49)*100</f>
        <v>31.032978275260277</v>
      </c>
      <c r="F319" s="327">
        <f>('Pivot Table for Data Exchange'!$M$52)*100</f>
        <v>2.8585183847866645E-2</v>
      </c>
      <c r="G319" s="335">
        <f>('Pivot Table for Data Exchange'!$M$55)*100</f>
        <v>0</v>
      </c>
      <c r="H319" s="327">
        <f>('Pivot Table for Data Exchange'!$M$58)*100</f>
        <v>6.7200256765160185E-2</v>
      </c>
      <c r="I319" s="298"/>
      <c r="J319" s="366"/>
      <c r="K319" s="366"/>
      <c r="L319" s="366"/>
      <c r="M319" s="366"/>
      <c r="N319" s="366"/>
      <c r="O319" s="366"/>
      <c r="P319" s="366"/>
      <c r="Q319" s="332">
        <f t="shared" si="39"/>
        <v>100</v>
      </c>
      <c r="R319" s="332"/>
      <c r="S319" s="381"/>
      <c r="T319" s="381"/>
      <c r="U319" s="381"/>
      <c r="V319" s="381"/>
      <c r="W319" s="381"/>
      <c r="X319" s="381"/>
      <c r="Y319" s="381"/>
      <c r="Z319" s="381"/>
      <c r="AA319" s="381"/>
      <c r="AB319" s="381"/>
      <c r="AC319" s="381"/>
      <c r="AD319" s="381"/>
      <c r="AE319" s="381"/>
      <c r="AF319" s="381"/>
      <c r="AG319" s="381"/>
      <c r="AH319" s="381"/>
      <c r="AI319" s="381"/>
      <c r="AJ319" s="381"/>
      <c r="AK319" s="381"/>
      <c r="AL319" s="381"/>
      <c r="AM319" s="381"/>
      <c r="AN319" s="381"/>
      <c r="AO319" s="381"/>
    </row>
    <row r="320" spans="1:41" ht="15.75" customHeight="1">
      <c r="A320" s="298" t="s">
        <v>827</v>
      </c>
      <c r="B320" s="327">
        <f>('Pivot Table for Data Exchange'!$M$79)*100</f>
        <v>80.386420543015547</v>
      </c>
      <c r="C320" s="327">
        <f>('Pivot Table for Data Exchange'!$M$82)*100</f>
        <v>0</v>
      </c>
      <c r="D320" s="328">
        <f t="shared" si="42"/>
        <v>19.613579456984453</v>
      </c>
      <c r="E320" s="327">
        <f>('Pivot Table for Data Exchange'!$M$85)*100</f>
        <v>19.027365290943454</v>
      </c>
      <c r="F320" s="327">
        <f>('Pivot Table for Data Exchange'!$M$88)*100</f>
        <v>0.38020704270671907</v>
      </c>
      <c r="G320" s="335">
        <f>('Pivot Table for Data Exchange'!$M$91)*100</f>
        <v>0.20600712333428262</v>
      </c>
      <c r="H320" s="327">
        <f>('Pivot Table for Data Exchange'!$M$94)*100</f>
        <v>0</v>
      </c>
      <c r="I320" s="298"/>
      <c r="J320" s="366"/>
      <c r="K320" s="366"/>
      <c r="L320" s="366"/>
      <c r="M320" s="366"/>
      <c r="N320" s="366"/>
      <c r="O320" s="366"/>
      <c r="P320" s="366"/>
      <c r="Q320" s="332">
        <f t="shared" si="39"/>
        <v>100</v>
      </c>
      <c r="R320" s="332"/>
      <c r="S320" s="381"/>
      <c r="T320" s="385"/>
      <c r="U320" s="381"/>
      <c r="V320" s="381"/>
      <c r="W320" s="381"/>
      <c r="X320" s="381"/>
      <c r="Y320" s="381"/>
      <c r="Z320" s="381"/>
      <c r="AA320" s="381"/>
      <c r="AB320" s="381"/>
      <c r="AC320" s="381"/>
      <c r="AD320" s="381"/>
      <c r="AE320" s="381"/>
      <c r="AF320" s="381"/>
      <c r="AG320" s="381"/>
      <c r="AH320" s="381"/>
      <c r="AI320" s="381"/>
      <c r="AJ320" s="381"/>
      <c r="AK320" s="381"/>
      <c r="AL320" s="381"/>
      <c r="AM320" s="381"/>
      <c r="AN320" s="381"/>
      <c r="AO320" s="381"/>
    </row>
    <row r="321" spans="1:41" ht="15.75" customHeight="1">
      <c r="A321" s="298" t="s">
        <v>865</v>
      </c>
      <c r="B321" s="327">
        <f>('Pivot Table for Data Exchange'!$M$115)*100</f>
        <v>0</v>
      </c>
      <c r="C321" s="327">
        <f>('Pivot Table for Data Exchange'!$M$118)*100</f>
        <v>0</v>
      </c>
      <c r="D321" s="328">
        <f t="shared" si="42"/>
        <v>0</v>
      </c>
      <c r="E321" s="327">
        <f>('Pivot Table for Data Exchange'!$M$121)*100</f>
        <v>0</v>
      </c>
      <c r="F321" s="327">
        <f>('Pivot Table for Data Exchange'!$M$124)*100</f>
        <v>0</v>
      </c>
      <c r="G321" s="334">
        <f>('Pivot Table for Data Exchange'!$M$127)*100</f>
        <v>0</v>
      </c>
      <c r="H321" s="327">
        <f>('Pivot Table for Data Exchange'!$M$130)*100</f>
        <v>0</v>
      </c>
      <c r="I321" s="298"/>
      <c r="J321" s="366"/>
      <c r="K321" s="366"/>
      <c r="L321" s="366"/>
      <c r="M321" s="366"/>
      <c r="N321" s="366"/>
      <c r="O321" s="366"/>
      <c r="P321" s="366"/>
      <c r="Q321" s="332">
        <f t="shared" si="39"/>
        <v>0</v>
      </c>
      <c r="R321" s="332"/>
      <c r="S321" s="381"/>
      <c r="U321" s="381"/>
      <c r="V321" s="381"/>
      <c r="W321" s="381"/>
      <c r="X321" s="381"/>
      <c r="Y321" s="381"/>
      <c r="Z321" s="381"/>
      <c r="AA321" s="381"/>
      <c r="AB321" s="381"/>
      <c r="AC321" s="381"/>
      <c r="AD321" s="381"/>
      <c r="AE321" s="381"/>
      <c r="AF321" s="381"/>
      <c r="AG321" s="381"/>
      <c r="AH321" s="381"/>
      <c r="AI321" s="381"/>
      <c r="AJ321" s="381"/>
      <c r="AK321" s="381"/>
      <c r="AL321" s="381"/>
      <c r="AM321" s="381"/>
      <c r="AN321" s="381"/>
      <c r="AO321" s="381"/>
    </row>
    <row r="322" spans="1:41" ht="15.75" customHeight="1">
      <c r="B322" s="327"/>
      <c r="C322" s="327"/>
      <c r="D322" s="328"/>
      <c r="E322" s="327"/>
      <c r="F322" s="327"/>
      <c r="G322" s="335"/>
      <c r="H322" s="327"/>
      <c r="I322" s="298"/>
      <c r="J322" s="366"/>
      <c r="K322" s="366"/>
      <c r="L322" s="366"/>
      <c r="M322" s="366"/>
      <c r="N322" s="366"/>
      <c r="O322" s="366"/>
      <c r="P322" s="366"/>
      <c r="Q322" s="332">
        <f t="shared" si="39"/>
        <v>0</v>
      </c>
      <c r="R322" s="332"/>
      <c r="S322" s="381"/>
      <c r="U322" s="381"/>
      <c r="V322" s="381"/>
      <c r="W322" s="381"/>
      <c r="X322" s="381"/>
      <c r="Y322" s="381"/>
      <c r="Z322" s="381"/>
      <c r="AA322" s="381"/>
      <c r="AB322" s="381"/>
      <c r="AC322" s="381"/>
      <c r="AD322" s="381"/>
      <c r="AE322" s="381"/>
      <c r="AF322" s="381"/>
      <c r="AG322" s="381"/>
      <c r="AH322" s="381"/>
      <c r="AI322" s="381"/>
      <c r="AJ322" s="381"/>
      <c r="AK322" s="381"/>
      <c r="AL322" s="381"/>
      <c r="AM322" s="381"/>
      <c r="AN322" s="381"/>
      <c r="AO322" s="381"/>
    </row>
    <row r="323" spans="1:41" ht="15.75" customHeight="1">
      <c r="A323" s="298" t="s">
        <v>829</v>
      </c>
      <c r="B323" s="327">
        <f>('Pivot Table for Data Exchange'!$M$151)*100</f>
        <v>0</v>
      </c>
      <c r="C323" s="327">
        <f>('Pivot Table for Data Exchange'!$M$154)*100</f>
        <v>0</v>
      </c>
      <c r="D323" s="328">
        <f t="shared" ref="D323:D324" si="43">SUM(E323:G323)</f>
        <v>0</v>
      </c>
      <c r="E323" s="327">
        <f>('Pivot Table for Data Exchange'!$M$157)*100</f>
        <v>0</v>
      </c>
      <c r="F323" s="327">
        <f>('Pivot Table for Data Exchange'!$M$160)*100</f>
        <v>0</v>
      </c>
      <c r="G323" s="335">
        <f>('Pivot Table for Data Exchange'!$M$163)*100</f>
        <v>0</v>
      </c>
      <c r="H323" s="327">
        <f>('Pivot Table for Data Exchange'!$M$166)*100</f>
        <v>0</v>
      </c>
      <c r="I323" s="298"/>
      <c r="J323" s="366"/>
      <c r="K323" s="366"/>
      <c r="L323" s="366"/>
      <c r="M323" s="366"/>
      <c r="N323" s="366"/>
      <c r="O323" s="366"/>
      <c r="P323" s="366"/>
      <c r="Q323" s="332">
        <f t="shared" si="39"/>
        <v>0</v>
      </c>
      <c r="R323" s="332"/>
      <c r="S323" s="381"/>
      <c r="T323" s="381"/>
      <c r="U323" s="381"/>
      <c r="V323" s="381"/>
      <c r="W323" s="381"/>
      <c r="X323" s="381"/>
      <c r="Y323" s="381"/>
      <c r="Z323" s="381"/>
      <c r="AA323" s="381"/>
      <c r="AB323" s="381"/>
      <c r="AC323" s="381"/>
      <c r="AD323" s="381"/>
      <c r="AE323" s="381"/>
      <c r="AF323" s="381"/>
      <c r="AG323" s="381"/>
      <c r="AH323" s="381"/>
      <c r="AI323" s="381"/>
      <c r="AJ323" s="381"/>
      <c r="AK323" s="381"/>
      <c r="AL323" s="381"/>
      <c r="AM323" s="381"/>
      <c r="AN323" s="381"/>
      <c r="AO323" s="381"/>
    </row>
    <row r="324" spans="1:41" ht="15.75" customHeight="1">
      <c r="A324" s="298" t="s">
        <v>830</v>
      </c>
      <c r="B324" s="327">
        <f>('Pivot Table for Data Exchange'!$M$187)*100</f>
        <v>47.262351820194496</v>
      </c>
      <c r="C324" s="327">
        <f>('Pivot Table for Data Exchange'!$M$190)*100</f>
        <v>5.6190973292604323</v>
      </c>
      <c r="D324" s="328">
        <f t="shared" si="43"/>
        <v>47.118550850545077</v>
      </c>
      <c r="E324" s="327">
        <f>('Pivot Table for Data Exchange'!$M$193)*100</f>
        <v>47.118550850545077</v>
      </c>
      <c r="F324" s="327">
        <f>('Pivot Table for Data Exchange'!$M$196)*100</f>
        <v>0</v>
      </c>
      <c r="G324" s="335">
        <f>('Pivot Table for Data Exchange'!$M$199)*100</f>
        <v>0</v>
      </c>
      <c r="H324" s="327">
        <f>('Pivot Table for Data Exchange'!$M$202)*100</f>
        <v>0</v>
      </c>
      <c r="I324" s="298"/>
      <c r="J324" s="366"/>
      <c r="K324" s="366"/>
      <c r="L324" s="366"/>
      <c r="M324" s="366"/>
      <c r="N324" s="366"/>
      <c r="O324" s="366"/>
      <c r="P324" s="366"/>
      <c r="Q324" s="332">
        <f t="shared" si="39"/>
        <v>100</v>
      </c>
      <c r="R324" s="332"/>
      <c r="S324" s="381"/>
      <c r="T324" s="381"/>
      <c r="U324" s="381"/>
      <c r="V324" s="381"/>
      <c r="W324" s="381"/>
      <c r="X324" s="381"/>
      <c r="Y324" s="381"/>
      <c r="Z324" s="381"/>
      <c r="AA324" s="381"/>
      <c r="AB324" s="381"/>
      <c r="AC324" s="381"/>
      <c r="AD324" s="381"/>
      <c r="AE324" s="381"/>
      <c r="AF324" s="381"/>
      <c r="AG324" s="381"/>
      <c r="AH324" s="381"/>
      <c r="AI324" s="381"/>
      <c r="AJ324" s="381"/>
      <c r="AK324" s="381"/>
      <c r="AL324" s="381"/>
      <c r="AM324" s="381"/>
      <c r="AN324" s="381"/>
      <c r="AO324" s="381"/>
    </row>
    <row r="325" spans="1:41" ht="15.75" customHeight="1">
      <c r="A325" s="298" t="s">
        <v>831</v>
      </c>
      <c r="B325" s="327">
        <f>('Pivot Table for Data Exchange'!$M$223)*100</f>
        <v>80.118159497652357</v>
      </c>
      <c r="C325" s="327">
        <f>('Pivot Table for Data Exchange'!$M$226)*100</f>
        <v>0</v>
      </c>
      <c r="D325" s="328">
        <f>SUM(E325:G325)</f>
        <v>19.881840502347647</v>
      </c>
      <c r="E325" s="327">
        <f>('Pivot Table for Data Exchange'!$M$229)*100</f>
        <v>19.881840502347647</v>
      </c>
      <c r="F325" s="327">
        <f>('Pivot Table for Data Exchange'!$M$232)*100</f>
        <v>0</v>
      </c>
      <c r="G325" s="335">
        <f>('Pivot Table for Data Exchange'!$M$235)*100</f>
        <v>0</v>
      </c>
      <c r="H325" s="327">
        <f>('Pivot Table for Data Exchange'!$M$238)*100</f>
        <v>0</v>
      </c>
      <c r="I325" s="298"/>
      <c r="J325" s="366"/>
      <c r="K325" s="366"/>
      <c r="L325" s="366"/>
      <c r="M325" s="366"/>
      <c r="N325" s="366"/>
      <c r="O325" s="366"/>
      <c r="P325" s="366"/>
      <c r="Q325" s="332">
        <f t="shared" si="39"/>
        <v>100</v>
      </c>
      <c r="R325" s="332"/>
      <c r="S325" s="381"/>
      <c r="T325" s="385"/>
      <c r="U325" s="381"/>
      <c r="V325" s="381"/>
      <c r="W325" s="381"/>
      <c r="X325" s="381"/>
      <c r="Y325" s="381"/>
      <c r="Z325" s="381"/>
      <c r="AA325" s="381"/>
      <c r="AB325" s="381"/>
      <c r="AC325" s="381"/>
      <c r="AD325" s="381"/>
      <c r="AE325" s="381"/>
      <c r="AF325" s="381"/>
      <c r="AG325" s="381"/>
      <c r="AH325" s="381"/>
      <c r="AI325" s="381"/>
      <c r="AJ325" s="381"/>
      <c r="AK325" s="381"/>
      <c r="AL325" s="381"/>
      <c r="AM325" s="381"/>
      <c r="AN325" s="381"/>
      <c r="AO325" s="381"/>
    </row>
    <row r="326" spans="1:41" ht="15.75" customHeight="1">
      <c r="A326" s="298" t="s">
        <v>832</v>
      </c>
      <c r="B326" s="327">
        <f>('Pivot Table for Data Exchange'!$M$259)*100</f>
        <v>66.891720457922261</v>
      </c>
      <c r="C326" s="327">
        <f>('Pivot Table for Data Exchange'!$M$262)*100</f>
        <v>7.3853000869757475</v>
      </c>
      <c r="D326" s="328">
        <f>SUM(E326:G326)</f>
        <v>25.703160628083399</v>
      </c>
      <c r="E326" s="327">
        <f>('Pivot Table for Data Exchange'!$M$265)*100</f>
        <v>25.507656157389562</v>
      </c>
      <c r="F326" s="327">
        <f>('Pivot Table for Data Exchange'!$M$268)*100</f>
        <v>0.19550447069383853</v>
      </c>
      <c r="G326" s="335">
        <f>('Pivot Table for Data Exchange'!$M$271)*100</f>
        <v>0</v>
      </c>
      <c r="H326" s="339">
        <f>('Pivot Table for Data Exchange'!$M$274)*100</f>
        <v>1.9818827018593981E-2</v>
      </c>
      <c r="I326" s="298"/>
      <c r="J326" s="366"/>
      <c r="K326" s="366"/>
      <c r="L326" s="366"/>
      <c r="M326" s="366"/>
      <c r="N326" s="366"/>
      <c r="O326" s="366"/>
      <c r="P326" s="366"/>
      <c r="Q326" s="332">
        <f t="shared" si="39"/>
        <v>100</v>
      </c>
      <c r="R326" s="332"/>
      <c r="S326" s="381"/>
      <c r="U326" s="381"/>
      <c r="V326" s="381"/>
      <c r="W326" s="381"/>
      <c r="X326" s="381"/>
      <c r="Y326" s="381"/>
      <c r="Z326" s="381"/>
      <c r="AA326" s="381"/>
      <c r="AB326" s="381"/>
      <c r="AC326" s="381"/>
      <c r="AD326" s="381"/>
      <c r="AE326" s="381"/>
      <c r="AF326" s="381"/>
      <c r="AG326" s="381"/>
      <c r="AH326" s="381"/>
      <c r="AI326" s="381"/>
      <c r="AJ326" s="381"/>
      <c r="AK326" s="381"/>
      <c r="AL326" s="381"/>
      <c r="AM326" s="381"/>
      <c r="AN326" s="381"/>
      <c r="AO326" s="381"/>
    </row>
    <row r="327" spans="1:41" ht="12" customHeight="1">
      <c r="B327" s="327"/>
      <c r="C327" s="327"/>
      <c r="D327" s="328"/>
      <c r="E327" s="327"/>
      <c r="F327" s="327"/>
      <c r="G327" s="335"/>
      <c r="H327" s="327"/>
      <c r="I327" s="298"/>
      <c r="J327" s="366"/>
      <c r="K327" s="366"/>
      <c r="L327" s="366"/>
      <c r="M327" s="366"/>
      <c r="N327" s="366"/>
      <c r="O327" s="366"/>
      <c r="P327" s="366"/>
      <c r="Q327" s="332">
        <f t="shared" si="39"/>
        <v>0</v>
      </c>
      <c r="R327" s="332"/>
      <c r="S327" s="381"/>
      <c r="U327" s="381"/>
      <c r="V327" s="381"/>
      <c r="W327" s="381"/>
      <c r="X327" s="381"/>
      <c r="Y327" s="381"/>
      <c r="Z327" s="381"/>
      <c r="AA327" s="381"/>
      <c r="AB327" s="381"/>
      <c r="AC327" s="381"/>
      <c r="AD327" s="381"/>
      <c r="AE327" s="381"/>
      <c r="AF327" s="381"/>
      <c r="AG327" s="381"/>
      <c r="AH327" s="381"/>
      <c r="AI327" s="381"/>
      <c r="AJ327" s="381"/>
      <c r="AK327" s="381"/>
      <c r="AL327" s="381"/>
      <c r="AM327" s="381"/>
      <c r="AN327" s="381"/>
      <c r="AO327" s="381"/>
    </row>
    <row r="328" spans="1:41" ht="15.75" customHeight="1">
      <c r="A328" s="298" t="s">
        <v>880</v>
      </c>
      <c r="B328" s="327">
        <f>('Pivot Table for Data Exchange'!$M$295)*100</f>
        <v>70.904118032281673</v>
      </c>
      <c r="C328" s="327">
        <f>('Pivot Table for Data Exchange'!$M$298)*100</f>
        <v>2.8368342120399412</v>
      </c>
      <c r="D328" s="328">
        <f>SUM(E328:G328)</f>
        <v>26.259047755678385</v>
      </c>
      <c r="E328" s="327">
        <f>('Pivot Table for Data Exchange'!$M$301)*100</f>
        <v>26.259047755678385</v>
      </c>
      <c r="F328" s="327">
        <f>('Pivot Table for Data Exchange'!$M$304)*100</f>
        <v>0</v>
      </c>
      <c r="G328" s="335">
        <f>('Pivot Table for Data Exchange'!$M$307)*100</f>
        <v>0</v>
      </c>
      <c r="H328" s="327">
        <f>('Pivot Table for Data Exchange'!$M$310)*100</f>
        <v>0</v>
      </c>
      <c r="I328" s="373"/>
      <c r="J328" s="366"/>
      <c r="K328" s="366"/>
      <c r="L328" s="366"/>
      <c r="M328" s="366"/>
      <c r="N328" s="366"/>
      <c r="O328" s="366"/>
      <c r="P328" s="366"/>
      <c r="Q328" s="332">
        <f t="shared" si="39"/>
        <v>100</v>
      </c>
      <c r="R328" s="332"/>
      <c r="S328" s="381"/>
      <c r="T328" s="381"/>
      <c r="U328" s="381"/>
      <c r="V328" s="381"/>
      <c r="W328" s="381"/>
      <c r="X328" s="381"/>
      <c r="Y328" s="381"/>
      <c r="Z328" s="381"/>
      <c r="AA328" s="381"/>
      <c r="AB328" s="381"/>
      <c r="AC328" s="381"/>
      <c r="AD328" s="381"/>
      <c r="AE328" s="381"/>
      <c r="AF328" s="381"/>
      <c r="AG328" s="381"/>
      <c r="AH328" s="381"/>
      <c r="AI328" s="381"/>
      <c r="AJ328" s="381"/>
      <c r="AK328" s="381"/>
      <c r="AL328" s="381"/>
      <c r="AM328" s="381"/>
      <c r="AN328" s="381"/>
      <c r="AO328" s="381"/>
    </row>
    <row r="329" spans="1:41" ht="15.75" customHeight="1">
      <c r="A329" s="298" t="s">
        <v>834</v>
      </c>
      <c r="B329" s="327">
        <f>('Pivot Table for Data Exchange'!$M$331)*100</f>
        <v>45.081672575881839</v>
      </c>
      <c r="C329" s="327">
        <f>('Pivot Table for Data Exchange'!$M$334)*100</f>
        <v>4.0327522208446815</v>
      </c>
      <c r="D329" s="328">
        <f>SUM(E329:G329)</f>
        <v>50.885575203273476</v>
      </c>
      <c r="E329" s="327">
        <f>('Pivot Table for Data Exchange'!$M$337)*100</f>
        <v>50.425916694034676</v>
      </c>
      <c r="F329" s="327">
        <f>('Pivot Table for Data Exchange'!$M$340)*100</f>
        <v>0.45965850923880081</v>
      </c>
      <c r="G329" s="334">
        <f>('Pivot Table for Data Exchange'!$M$343)*100</f>
        <v>0</v>
      </c>
      <c r="H329" s="327">
        <f>('Pivot Table for Data Exchange'!$M$346)*100</f>
        <v>0</v>
      </c>
      <c r="I329" s="298"/>
      <c r="J329" s="366"/>
      <c r="K329" s="366"/>
      <c r="L329" s="366"/>
      <c r="M329" s="366"/>
      <c r="N329" s="366"/>
      <c r="O329" s="366"/>
      <c r="P329" s="366"/>
      <c r="Q329" s="332">
        <f t="shared" si="39"/>
        <v>100</v>
      </c>
      <c r="R329" s="332"/>
      <c r="S329" s="381"/>
      <c r="T329" s="381"/>
      <c r="U329" s="381"/>
      <c r="V329" s="381"/>
      <c r="W329" s="381"/>
      <c r="X329" s="381"/>
      <c r="Y329" s="381"/>
      <c r="Z329" s="381"/>
      <c r="AA329" s="381"/>
      <c r="AB329" s="381"/>
      <c r="AC329" s="381"/>
      <c r="AD329" s="381"/>
      <c r="AE329" s="381"/>
      <c r="AF329" s="381"/>
      <c r="AG329" s="381"/>
      <c r="AH329" s="381"/>
      <c r="AI329" s="381"/>
      <c r="AJ329" s="381"/>
      <c r="AK329" s="381"/>
      <c r="AL329" s="381"/>
      <c r="AM329" s="381"/>
      <c r="AN329" s="381"/>
      <c r="AO329" s="381"/>
    </row>
    <row r="330" spans="1:41" ht="15.75" customHeight="1">
      <c r="A330" s="298" t="s">
        <v>835</v>
      </c>
      <c r="B330" s="327">
        <f>('Pivot Table for Data Exchange'!$M$367)*100</f>
        <v>67.721983132948651</v>
      </c>
      <c r="C330" s="327">
        <f>('Pivot Table for Data Exchange'!$M$370)*100</f>
        <v>0.38356137947005808</v>
      </c>
      <c r="D330" s="328">
        <f>SUM(E330:G330)</f>
        <v>31.894455487581293</v>
      </c>
      <c r="E330" s="327">
        <f>('Pivot Table for Data Exchange'!$M$373)*100</f>
        <v>24.768415770886001</v>
      </c>
      <c r="F330" s="327">
        <f>('Pivot Table for Data Exchange'!$M$376)*100</f>
        <v>6.5697550996777112</v>
      </c>
      <c r="G330" s="334">
        <f>('Pivot Table for Data Exchange'!$M$379)*100</f>
        <v>0.55628461701758103</v>
      </c>
      <c r="H330" s="327">
        <f>('Pivot Table for Data Exchange'!$M$382)*100</f>
        <v>0</v>
      </c>
      <c r="I330" s="298"/>
      <c r="J330" s="366"/>
      <c r="K330" s="366"/>
      <c r="L330" s="366"/>
      <c r="M330" s="366"/>
      <c r="N330" s="366"/>
      <c r="O330" s="366"/>
      <c r="P330" s="366"/>
      <c r="Q330" s="332">
        <f t="shared" si="39"/>
        <v>100</v>
      </c>
      <c r="R330" s="332"/>
      <c r="S330" s="381"/>
      <c r="T330" s="385"/>
      <c r="U330" s="381"/>
      <c r="V330" s="381"/>
      <c r="W330" s="381"/>
      <c r="X330" s="381"/>
      <c r="Y330" s="381"/>
      <c r="Z330" s="381"/>
      <c r="AA330" s="381"/>
      <c r="AB330" s="381"/>
      <c r="AC330" s="381"/>
      <c r="AD330" s="381"/>
      <c r="AE330" s="381"/>
      <c r="AF330" s="381"/>
      <c r="AG330" s="381"/>
      <c r="AH330" s="381"/>
      <c r="AI330" s="381"/>
      <c r="AJ330" s="381"/>
      <c r="AK330" s="381"/>
      <c r="AL330" s="381"/>
      <c r="AM330" s="381"/>
      <c r="AN330" s="381"/>
      <c r="AO330" s="381"/>
    </row>
    <row r="331" spans="1:41" ht="15.75" customHeight="1">
      <c r="A331" s="298" t="s">
        <v>836</v>
      </c>
      <c r="B331" s="327">
        <f>('Pivot Table for Data Exchange'!$M$403)*100</f>
        <v>58.819017627560768</v>
      </c>
      <c r="C331" s="327">
        <f>('Pivot Table for Data Exchange'!$M$406)*100</f>
        <v>7.1998634936832033</v>
      </c>
      <c r="D331" s="328">
        <f>SUM(E331:G331)</f>
        <v>33.981118878756043</v>
      </c>
      <c r="E331" s="327">
        <f>('Pivot Table for Data Exchange'!$M$409)*100</f>
        <v>32.229850958078373</v>
      </c>
      <c r="F331" s="327">
        <f>('Pivot Table for Data Exchange'!$M$412)*100</f>
        <v>1.7512679206776662</v>
      </c>
      <c r="G331" s="337">
        <f>('Pivot Table for Data Exchange'!$M$415)*100</f>
        <v>0</v>
      </c>
      <c r="H331" s="327">
        <f>('Pivot Table for Data Exchange'!$M$418)*100</f>
        <v>0</v>
      </c>
      <c r="I331" s="298"/>
      <c r="J331" s="366"/>
      <c r="K331" s="366"/>
      <c r="L331" s="366"/>
      <c r="M331" s="366"/>
      <c r="N331" s="366"/>
      <c r="O331" s="366"/>
      <c r="P331" s="366"/>
      <c r="Q331" s="332">
        <f t="shared" si="39"/>
        <v>100</v>
      </c>
      <c r="R331" s="332"/>
      <c r="S331" s="381"/>
      <c r="T331" s="381"/>
      <c r="U331" s="381"/>
      <c r="V331" s="381"/>
      <c r="W331" s="381"/>
      <c r="X331" s="381"/>
      <c r="Y331" s="381"/>
      <c r="Z331" s="381"/>
      <c r="AA331" s="381"/>
      <c r="AB331" s="381"/>
      <c r="AC331" s="381"/>
      <c r="AD331" s="381"/>
      <c r="AE331" s="381"/>
      <c r="AF331" s="381"/>
      <c r="AG331" s="381"/>
      <c r="AH331" s="381"/>
      <c r="AI331" s="381"/>
      <c r="AJ331" s="381"/>
      <c r="AK331" s="381"/>
      <c r="AL331" s="381"/>
      <c r="AM331" s="381"/>
      <c r="AN331" s="381"/>
      <c r="AO331" s="381"/>
    </row>
    <row r="332" spans="1:41" ht="12.75" customHeight="1">
      <c r="B332" s="327"/>
      <c r="C332" s="327"/>
      <c r="D332" s="328"/>
      <c r="E332" s="327"/>
      <c r="F332" s="327"/>
      <c r="G332" s="335"/>
      <c r="H332" s="327"/>
      <c r="I332" s="298"/>
      <c r="J332" s="366"/>
      <c r="K332" s="366"/>
      <c r="L332" s="366"/>
      <c r="M332" s="366"/>
      <c r="N332" s="366"/>
      <c r="O332" s="366"/>
      <c r="P332" s="366"/>
      <c r="Q332" s="332">
        <f t="shared" si="39"/>
        <v>0</v>
      </c>
      <c r="R332" s="332"/>
      <c r="S332" s="381"/>
      <c r="T332" s="381"/>
      <c r="U332" s="381"/>
      <c r="V332" s="381"/>
      <c r="W332" s="381"/>
      <c r="X332" s="381"/>
      <c r="Y332" s="381"/>
      <c r="Z332" s="381"/>
      <c r="AA332" s="381"/>
      <c r="AB332" s="381"/>
      <c r="AC332" s="381"/>
      <c r="AD332" s="381"/>
      <c r="AE332" s="381"/>
      <c r="AF332" s="381"/>
      <c r="AG332" s="381"/>
      <c r="AH332" s="381"/>
      <c r="AI332" s="381"/>
      <c r="AJ332" s="381"/>
      <c r="AK332" s="381"/>
      <c r="AL332" s="381"/>
      <c r="AM332" s="381"/>
      <c r="AN332" s="381"/>
      <c r="AO332" s="381"/>
    </row>
    <row r="333" spans="1:41" ht="15.75" customHeight="1">
      <c r="A333" s="298" t="s">
        <v>837</v>
      </c>
      <c r="B333" s="327">
        <f>('Pivot Table for Data Exchange'!$M$439)*100</f>
        <v>34.105216066806562</v>
      </c>
      <c r="C333" s="327">
        <f>('Pivot Table for Data Exchange'!$M$442)*100</f>
        <v>35.682445171117244</v>
      </c>
      <c r="D333" s="328">
        <f>SUM(E333:G333)</f>
        <v>30.019412460189812</v>
      </c>
      <c r="E333" s="327">
        <f>('Pivot Table for Data Exchange'!$M$445)*100</f>
        <v>21.001272860901334</v>
      </c>
      <c r="F333" s="327">
        <f>('Pivot Table for Data Exchange'!$M$448)*100</f>
        <v>3.0856225301705313</v>
      </c>
      <c r="G333" s="335">
        <f>('Pivot Table for Data Exchange'!$M$451)*100</f>
        <v>5.9325170691179441</v>
      </c>
      <c r="H333" s="327">
        <f>('Pivot Table for Data Exchange'!$M$454)*100</f>
        <v>0.19292630188639051</v>
      </c>
      <c r="I333" s="298"/>
      <c r="J333" s="366"/>
      <c r="K333" s="366"/>
      <c r="L333" s="366"/>
      <c r="M333" s="366"/>
      <c r="N333" s="366"/>
      <c r="O333" s="366"/>
      <c r="P333" s="366"/>
      <c r="Q333" s="332">
        <f t="shared" si="39"/>
        <v>100</v>
      </c>
      <c r="R333" s="332"/>
      <c r="S333" s="381"/>
      <c r="T333" s="381"/>
      <c r="U333" s="381"/>
      <c r="V333" s="381"/>
      <c r="W333" s="381"/>
      <c r="X333" s="381"/>
      <c r="Y333" s="381"/>
      <c r="Z333" s="381"/>
      <c r="AA333" s="381"/>
      <c r="AB333" s="381"/>
      <c r="AC333" s="381"/>
      <c r="AD333" s="381"/>
      <c r="AE333" s="381"/>
      <c r="AF333" s="381"/>
      <c r="AG333" s="381"/>
      <c r="AH333" s="381"/>
      <c r="AI333" s="381"/>
      <c r="AJ333" s="381"/>
      <c r="AK333" s="381"/>
      <c r="AL333" s="381"/>
      <c r="AM333" s="381"/>
      <c r="AN333" s="381"/>
      <c r="AO333" s="381"/>
    </row>
    <row r="334" spans="1:41" ht="15.75" customHeight="1">
      <c r="A334" s="298" t="s">
        <v>838</v>
      </c>
      <c r="B334" s="327">
        <f>('Pivot Table for Data Exchange'!$M$475)*100</f>
        <v>45.226721322712415</v>
      </c>
      <c r="C334" s="327">
        <f>('Pivot Table for Data Exchange'!$M$478)*100</f>
        <v>23.151233019066712</v>
      </c>
      <c r="D334" s="328">
        <f>SUM(E334:G334)</f>
        <v>31.622045658220873</v>
      </c>
      <c r="E334" s="327">
        <f>('Pivot Table for Data Exchange'!$M$481)*100</f>
        <v>29.394986684358798</v>
      </c>
      <c r="F334" s="327">
        <f>('Pivot Table for Data Exchange'!$M$484)*100</f>
        <v>2.124663512435125</v>
      </c>
      <c r="G334" s="335">
        <f>('Pivot Table for Data Exchange'!$M$487)*100</f>
        <v>0.10239546142695269</v>
      </c>
      <c r="H334" s="327">
        <f>('Pivot Table for Data Exchange'!$M$490)*100</f>
        <v>0</v>
      </c>
      <c r="I334" s="298"/>
      <c r="J334" s="366"/>
      <c r="K334" s="366"/>
      <c r="L334" s="366"/>
      <c r="M334" s="366"/>
      <c r="N334" s="366"/>
      <c r="O334" s="366"/>
      <c r="P334" s="366"/>
      <c r="Q334" s="332">
        <f t="shared" si="39"/>
        <v>100</v>
      </c>
      <c r="R334" s="332"/>
      <c r="S334" s="381"/>
      <c r="T334" s="381"/>
      <c r="U334" s="381"/>
      <c r="V334" s="381"/>
      <c r="W334" s="381"/>
      <c r="X334" s="381"/>
      <c r="Y334" s="381"/>
      <c r="Z334" s="381"/>
      <c r="AA334" s="381"/>
      <c r="AB334" s="381"/>
      <c r="AC334" s="381"/>
      <c r="AD334" s="381"/>
      <c r="AE334" s="381"/>
      <c r="AF334" s="381"/>
      <c r="AG334" s="381"/>
      <c r="AH334" s="381"/>
      <c r="AI334" s="381"/>
      <c r="AJ334" s="381"/>
      <c r="AK334" s="381"/>
      <c r="AL334" s="381"/>
      <c r="AM334" s="381"/>
      <c r="AN334" s="381"/>
      <c r="AO334" s="381"/>
    </row>
    <row r="335" spans="1:41" ht="15.75" customHeight="1">
      <c r="A335" s="298" t="s">
        <v>839</v>
      </c>
      <c r="B335" s="327">
        <f>('Pivot Table for Data Exchange'!$M$511)*100</f>
        <v>42.5639779677443</v>
      </c>
      <c r="C335" s="327">
        <f>('Pivot Table for Data Exchange'!$M$514)*100</f>
        <v>24.478987102606354</v>
      </c>
      <c r="D335" s="328">
        <f>SUM(E335:G335)</f>
        <v>32.957034929649346</v>
      </c>
      <c r="E335" s="327">
        <f>('Pivot Table for Data Exchange'!$M$517)*100</f>
        <v>27.712429656132848</v>
      </c>
      <c r="F335" s="327">
        <f>('Pivot Table for Data Exchange'!$M$520)*100</f>
        <v>5.244605273516501</v>
      </c>
      <c r="G335" s="335">
        <f>('Pivot Table for Data Exchange'!$M$523)*100</f>
        <v>0</v>
      </c>
      <c r="H335" s="327">
        <f>('Pivot Table for Data Exchange'!$M$526)*100</f>
        <v>0</v>
      </c>
      <c r="I335" s="298"/>
      <c r="J335" s="366"/>
      <c r="K335" s="366"/>
      <c r="L335" s="366"/>
      <c r="M335" s="366"/>
      <c r="N335" s="366"/>
      <c r="O335" s="366"/>
      <c r="P335" s="366"/>
      <c r="Q335" s="332">
        <f t="shared" si="39"/>
        <v>100</v>
      </c>
      <c r="R335" s="332"/>
      <c r="S335" s="381"/>
      <c r="T335" s="381"/>
      <c r="U335" s="381"/>
      <c r="V335" s="381"/>
      <c r="W335" s="381"/>
      <c r="X335" s="381"/>
      <c r="Y335" s="381"/>
      <c r="Z335" s="381"/>
      <c r="AA335" s="381"/>
      <c r="AB335" s="381"/>
      <c r="AC335" s="381"/>
      <c r="AD335" s="381"/>
      <c r="AE335" s="381"/>
      <c r="AF335" s="381"/>
      <c r="AG335" s="381"/>
      <c r="AH335" s="381"/>
      <c r="AI335" s="381"/>
      <c r="AJ335" s="381"/>
      <c r="AK335" s="381"/>
      <c r="AL335" s="381"/>
      <c r="AM335" s="381"/>
      <c r="AN335" s="381"/>
      <c r="AO335" s="381"/>
    </row>
    <row r="336" spans="1:41" ht="15.75" customHeight="1">
      <c r="A336" s="304" t="s">
        <v>840</v>
      </c>
      <c r="B336" s="340">
        <f>('Pivot Table for Data Exchange'!$M$547)*100</f>
        <v>0</v>
      </c>
      <c r="C336" s="340">
        <f>('Pivot Table for Data Exchange'!$M$550)*100</f>
        <v>0</v>
      </c>
      <c r="D336" s="341">
        <f>SUM(E336:G336)</f>
        <v>0</v>
      </c>
      <c r="E336" s="340">
        <f>('Pivot Table for Data Exchange'!$M$553)*100</f>
        <v>0</v>
      </c>
      <c r="F336" s="340">
        <f>('Pivot Table for Data Exchange'!$M$556)*100</f>
        <v>0</v>
      </c>
      <c r="G336" s="363">
        <f>('Pivot Table for Data Exchange'!$M$559)*100</f>
        <v>0</v>
      </c>
      <c r="H336" s="340">
        <f>('Pivot Table for Data Exchange'!$M$562)*100</f>
        <v>0</v>
      </c>
      <c r="I336" s="298"/>
      <c r="J336" s="366"/>
      <c r="K336" s="366"/>
      <c r="L336" s="366"/>
      <c r="M336" s="366"/>
      <c r="N336" s="366"/>
      <c r="O336" s="366"/>
      <c r="P336" s="366"/>
      <c r="Q336" s="332">
        <f t="shared" si="39"/>
        <v>0</v>
      </c>
      <c r="R336" s="332"/>
      <c r="S336" s="381"/>
      <c r="T336" s="381"/>
      <c r="U336" s="381"/>
      <c r="V336" s="381"/>
      <c r="W336" s="381"/>
      <c r="X336" s="381"/>
      <c r="Y336" s="381"/>
      <c r="Z336" s="381"/>
      <c r="AA336" s="381"/>
      <c r="AB336" s="381"/>
      <c r="AC336" s="381"/>
      <c r="AD336" s="381"/>
      <c r="AE336" s="381"/>
      <c r="AF336" s="381"/>
      <c r="AG336" s="381"/>
      <c r="AH336" s="381"/>
      <c r="AI336" s="381"/>
      <c r="AJ336" s="381"/>
      <c r="AK336" s="381"/>
      <c r="AL336" s="381"/>
      <c r="AM336" s="381"/>
      <c r="AN336" s="381"/>
      <c r="AO336" s="381"/>
    </row>
    <row r="337" spans="1:41" s="371" customFormat="1" ht="12" customHeight="1">
      <c r="A337" s="346" t="s">
        <v>866</v>
      </c>
      <c r="B337" s="347"/>
      <c r="C337" s="347"/>
      <c r="D337" s="348"/>
      <c r="E337" s="347"/>
      <c r="F337" s="348"/>
      <c r="G337" s="348"/>
      <c r="H337" s="347"/>
      <c r="I337" s="356"/>
      <c r="J337" s="347"/>
      <c r="K337" s="347"/>
      <c r="L337" s="348"/>
      <c r="M337" s="347"/>
      <c r="N337" s="348"/>
      <c r="O337" s="348"/>
      <c r="P337" s="347"/>
      <c r="Q337" s="332">
        <f t="shared" si="39"/>
        <v>0</v>
      </c>
      <c r="R337" s="367"/>
      <c r="S337" s="384"/>
      <c r="T337" s="384"/>
      <c r="U337" s="384"/>
      <c r="V337" s="384"/>
      <c r="W337" s="384"/>
      <c r="X337" s="384"/>
      <c r="Y337" s="384"/>
      <c r="Z337" s="384"/>
      <c r="AA337" s="384"/>
      <c r="AB337" s="384"/>
      <c r="AC337" s="384"/>
      <c r="AD337" s="384"/>
      <c r="AE337" s="384"/>
      <c r="AF337" s="384"/>
      <c r="AG337" s="384"/>
      <c r="AH337" s="384"/>
      <c r="AI337" s="384"/>
      <c r="AJ337" s="384"/>
      <c r="AK337" s="384"/>
      <c r="AL337" s="384"/>
      <c r="AM337" s="384"/>
      <c r="AN337" s="384"/>
      <c r="AO337" s="384"/>
    </row>
    <row r="338" spans="1:41" s="371" customFormat="1" ht="24" customHeight="1">
      <c r="A338" s="455" t="s">
        <v>881</v>
      </c>
      <c r="B338" s="456"/>
      <c r="C338" s="456"/>
      <c r="D338" s="456"/>
      <c r="E338" s="456"/>
      <c r="F338" s="456"/>
      <c r="G338" s="456"/>
      <c r="H338" s="456"/>
      <c r="I338" s="356"/>
      <c r="J338" s="345"/>
      <c r="K338" s="345"/>
      <c r="L338" s="345"/>
      <c r="M338" s="345"/>
      <c r="N338" s="345"/>
      <c r="O338" s="345"/>
      <c r="P338" s="358"/>
      <c r="Q338" s="332">
        <f t="shared" si="39"/>
        <v>0</v>
      </c>
      <c r="R338" s="368"/>
    </row>
    <row r="339" spans="1:41" s="371" customFormat="1" ht="11.25" customHeight="1">
      <c r="A339" s="344"/>
      <c r="B339" s="386"/>
      <c r="C339" s="386"/>
      <c r="D339" s="386"/>
      <c r="E339" s="386"/>
      <c r="F339" s="386"/>
      <c r="G339" s="386"/>
      <c r="H339" s="386"/>
      <c r="I339" s="356"/>
      <c r="J339" s="345"/>
      <c r="K339" s="345"/>
      <c r="L339" s="345"/>
      <c r="M339" s="345"/>
      <c r="N339" s="345"/>
      <c r="O339" s="345"/>
      <c r="P339" s="358"/>
      <c r="Q339" s="332"/>
      <c r="R339" s="368"/>
    </row>
    <row r="340" spans="1:41" s="371" customFormat="1">
      <c r="A340" s="345"/>
      <c r="B340" s="345"/>
      <c r="C340" s="345"/>
      <c r="D340" s="345"/>
      <c r="E340" s="345"/>
      <c r="F340" s="345"/>
      <c r="G340" s="345"/>
      <c r="H340" s="351" t="s">
        <v>980</v>
      </c>
      <c r="I340" s="345"/>
      <c r="J340" s="345"/>
      <c r="K340" s="345"/>
      <c r="L340" s="345"/>
      <c r="M340" s="345"/>
      <c r="N340" s="345"/>
      <c r="O340" s="345"/>
      <c r="P340" s="345"/>
      <c r="Q340" s="332">
        <f t="shared" si="39"/>
        <v>0</v>
      </c>
    </row>
    <row r="341" spans="1:41" ht="18">
      <c r="A341" s="293" t="s">
        <v>886</v>
      </c>
      <c r="B341" s="294"/>
      <c r="C341" s="294"/>
      <c r="D341" s="294"/>
      <c r="E341" s="294"/>
      <c r="F341" s="294"/>
      <c r="G341" s="294"/>
      <c r="H341" s="294"/>
      <c r="L341" s="294"/>
      <c r="Q341" s="332">
        <f t="shared" si="39"/>
        <v>0</v>
      </c>
    </row>
    <row r="342" spans="1:41">
      <c r="A342" s="299"/>
      <c r="B342" s="295"/>
      <c r="C342" s="295"/>
      <c r="D342" s="295"/>
      <c r="E342" s="295"/>
      <c r="F342" s="295"/>
      <c r="G342" s="295"/>
      <c r="H342" s="295"/>
      <c r="Q342" s="332">
        <f t="shared" si="39"/>
        <v>0</v>
      </c>
    </row>
    <row r="343" spans="1:41" ht="15.75">
      <c r="A343" s="301" t="s">
        <v>846</v>
      </c>
      <c r="B343" s="295"/>
      <c r="C343" s="295"/>
      <c r="D343" s="295"/>
      <c r="E343" s="295"/>
      <c r="F343" s="295"/>
      <c r="G343" s="295"/>
      <c r="H343" s="295"/>
      <c r="L343" s="295"/>
      <c r="Q343" s="332">
        <f t="shared" si="39"/>
        <v>0</v>
      </c>
    </row>
    <row r="344" spans="1:41" ht="15.75">
      <c r="A344" s="301" t="s">
        <v>992</v>
      </c>
      <c r="B344" s="295"/>
      <c r="C344" s="295"/>
      <c r="D344" s="295"/>
      <c r="E344" s="295"/>
      <c r="F344" s="295"/>
      <c r="G344" s="295"/>
      <c r="H344" s="295"/>
      <c r="Q344" s="332">
        <f t="shared" si="39"/>
        <v>0</v>
      </c>
    </row>
    <row r="345" spans="1:41">
      <c r="A345" s="304"/>
      <c r="B345" s="305"/>
      <c r="C345" s="305"/>
      <c r="D345" s="305"/>
      <c r="E345" s="305"/>
      <c r="F345" s="305"/>
      <c r="G345" s="305"/>
      <c r="H345" s="305"/>
      <c r="Q345" s="332">
        <f t="shared" si="39"/>
        <v>0</v>
      </c>
    </row>
    <row r="346" spans="1:41">
      <c r="A346" s="309"/>
      <c r="B346" s="310" t="s">
        <v>848</v>
      </c>
      <c r="C346" s="310"/>
      <c r="D346" s="310"/>
      <c r="E346" s="310"/>
      <c r="F346" s="310"/>
      <c r="G346" s="310"/>
      <c r="H346" s="311"/>
      <c r="Q346" s="332">
        <f t="shared" si="39"/>
        <v>0</v>
      </c>
    </row>
    <row r="347" spans="1:41">
      <c r="A347" s="309"/>
      <c r="B347" s="310" t="s">
        <v>849</v>
      </c>
      <c r="C347" s="310"/>
      <c r="D347" s="450" t="s">
        <v>850</v>
      </c>
      <c r="E347" s="448"/>
      <c r="F347" s="448"/>
      <c r="G347" s="448"/>
      <c r="H347" s="317" t="s">
        <v>740</v>
      </c>
      <c r="Q347" s="332">
        <f t="shared" ref="Q347:Q410" si="44">SUM(B347,C347,D347,H347)</f>
        <v>0</v>
      </c>
    </row>
    <row r="348" spans="1:41" ht="36">
      <c r="A348" s="309"/>
      <c r="B348" s="318" t="s">
        <v>851</v>
      </c>
      <c r="C348" s="319" t="s">
        <v>852</v>
      </c>
      <c r="D348" s="320" t="s">
        <v>853</v>
      </c>
      <c r="E348" s="321" t="s">
        <v>8</v>
      </c>
      <c r="F348" s="318" t="s">
        <v>854</v>
      </c>
      <c r="G348" s="322" t="s">
        <v>864</v>
      </c>
      <c r="H348" s="323" t="s">
        <v>856</v>
      </c>
      <c r="Q348" s="332">
        <f t="shared" si="44"/>
        <v>0</v>
      </c>
    </row>
    <row r="349" spans="1:41" ht="15.75" customHeight="1">
      <c r="A349" s="353" t="s">
        <v>825</v>
      </c>
      <c r="B349" s="380">
        <f>('Pivot Table for Data Exchange'!$N$7)*100</f>
        <v>63.234346889367657</v>
      </c>
      <c r="C349" s="327">
        <f>('Pivot Table for Data Exchange'!$N$10)*100</f>
        <v>3.6774854756775111</v>
      </c>
      <c r="D349" s="328">
        <f>SUM(E349:G349)</f>
        <v>33.088167634954836</v>
      </c>
      <c r="E349" s="327">
        <f>('Pivot Table for Data Exchange'!$N$13)*100</f>
        <v>33.088167634954836</v>
      </c>
      <c r="F349" s="327">
        <f>('Pivot Table for Data Exchange'!$N$16)*100</f>
        <v>0</v>
      </c>
      <c r="G349" s="331">
        <f>('Pivot Table for Data Exchange'!$N$19)*100</f>
        <v>0</v>
      </c>
      <c r="H349" s="327">
        <f>('Pivot Table for Data Exchange'!$N$22)*100</f>
        <v>0</v>
      </c>
      <c r="I349" s="298"/>
      <c r="J349" s="366"/>
      <c r="K349" s="366"/>
      <c r="L349" s="366"/>
      <c r="M349" s="366"/>
      <c r="N349" s="366"/>
      <c r="O349" s="366"/>
      <c r="P349" s="366"/>
      <c r="Q349" s="332">
        <f t="shared" si="44"/>
        <v>100</v>
      </c>
      <c r="R349" s="332"/>
      <c r="S349" s="381"/>
      <c r="T349" s="381"/>
      <c r="U349" s="381"/>
      <c r="V349" s="381"/>
      <c r="W349" s="381"/>
      <c r="X349" s="381"/>
      <c r="Y349" s="381"/>
      <c r="Z349" s="381"/>
      <c r="AA349" s="381"/>
      <c r="AB349" s="381"/>
      <c r="AC349" s="381"/>
      <c r="AD349" s="381"/>
      <c r="AE349" s="381"/>
      <c r="AF349" s="381"/>
      <c r="AG349" s="381"/>
      <c r="AH349" s="381"/>
      <c r="AI349" s="381"/>
      <c r="AJ349" s="381"/>
      <c r="AK349" s="381"/>
      <c r="AL349" s="381"/>
      <c r="AM349" s="381"/>
      <c r="AN349" s="381"/>
      <c r="AO349" s="381"/>
    </row>
    <row r="350" spans="1:41" ht="15.75" customHeight="1">
      <c r="A350" s="298" t="s">
        <v>826</v>
      </c>
      <c r="B350" s="327">
        <f>('Pivot Table for Data Exchange'!$N$43)*100</f>
        <v>60.894290292766286</v>
      </c>
      <c r="C350" s="327">
        <f>('Pivot Table for Data Exchange'!$N$46)*100</f>
        <v>13.056292513614331</v>
      </c>
      <c r="D350" s="328">
        <f t="shared" ref="D350:D352" si="45">SUM(E350:G350)</f>
        <v>25.820018218933061</v>
      </c>
      <c r="E350" s="327">
        <f>('Pivot Table for Data Exchange'!$N$49)*100</f>
        <v>24.135764297540444</v>
      </c>
      <c r="F350" s="327">
        <f>('Pivot Table for Data Exchange'!$N$52)*100</f>
        <v>1.684253921392618</v>
      </c>
      <c r="G350" s="334">
        <f>('Pivot Table for Data Exchange'!$N$55)*100</f>
        <v>0</v>
      </c>
      <c r="H350" s="336">
        <f>('Pivot Table for Data Exchange'!$N$58)*100</f>
        <v>0.22939897468632181</v>
      </c>
      <c r="I350" s="298"/>
      <c r="J350" s="366"/>
      <c r="K350" s="366"/>
      <c r="L350" s="366"/>
      <c r="M350" s="366"/>
      <c r="N350" s="366"/>
      <c r="O350" s="366"/>
      <c r="P350" s="366"/>
      <c r="Q350" s="332">
        <f t="shared" si="44"/>
        <v>100</v>
      </c>
      <c r="R350" s="332"/>
      <c r="S350" s="381"/>
      <c r="T350" s="381"/>
      <c r="U350" s="381"/>
      <c r="V350" s="381"/>
      <c r="W350" s="381"/>
      <c r="X350" s="381"/>
      <c r="Y350" s="381"/>
      <c r="Z350" s="381"/>
      <c r="AA350" s="381"/>
      <c r="AB350" s="381"/>
      <c r="AC350" s="381"/>
      <c r="AD350" s="381"/>
      <c r="AE350" s="381"/>
      <c r="AF350" s="381"/>
      <c r="AG350" s="381"/>
      <c r="AH350" s="381"/>
      <c r="AI350" s="381"/>
      <c r="AJ350" s="381"/>
      <c r="AK350" s="381"/>
      <c r="AL350" s="381"/>
      <c r="AM350" s="381"/>
      <c r="AN350" s="381"/>
      <c r="AO350" s="381"/>
    </row>
    <row r="351" spans="1:41" ht="15.75" customHeight="1">
      <c r="A351" s="298" t="s">
        <v>827</v>
      </c>
      <c r="B351" s="327">
        <f>('Pivot Table for Data Exchange'!$N$79)*100</f>
        <v>0</v>
      </c>
      <c r="C351" s="327">
        <f>('Pivot Table for Data Exchange'!$N$82)*100</f>
        <v>0</v>
      </c>
      <c r="D351" s="328">
        <f t="shared" si="45"/>
        <v>0</v>
      </c>
      <c r="E351" s="327">
        <f>('Pivot Table for Data Exchange'!$N$85)*100</f>
        <v>0</v>
      </c>
      <c r="F351" s="327">
        <f>('Pivot Table for Data Exchange'!$N$88)*100</f>
        <v>0</v>
      </c>
      <c r="G351" s="335">
        <f>('Pivot Table for Data Exchange'!$N$91)*100</f>
        <v>0</v>
      </c>
      <c r="H351" s="327">
        <f>('Pivot Table for Data Exchange'!$N$94)*100</f>
        <v>0</v>
      </c>
      <c r="I351" s="298"/>
      <c r="J351" s="366"/>
      <c r="K351" s="366"/>
      <c r="L351" s="366"/>
      <c r="M351" s="366"/>
      <c r="N351" s="366"/>
      <c r="O351" s="366"/>
      <c r="P351" s="366"/>
      <c r="Q351" s="332">
        <f t="shared" si="44"/>
        <v>0</v>
      </c>
      <c r="R351" s="332"/>
      <c r="S351" s="381"/>
      <c r="T351" s="385"/>
      <c r="U351" s="381"/>
      <c r="V351" s="381"/>
      <c r="W351" s="381"/>
      <c r="X351" s="381"/>
      <c r="Y351" s="381"/>
      <c r="Z351" s="381"/>
      <c r="AA351" s="381"/>
      <c r="AB351" s="381"/>
      <c r="AC351" s="381"/>
      <c r="AD351" s="381"/>
      <c r="AE351" s="381"/>
      <c r="AF351" s="381"/>
      <c r="AG351" s="381"/>
      <c r="AH351" s="381"/>
      <c r="AI351" s="381"/>
      <c r="AJ351" s="381"/>
      <c r="AK351" s="381"/>
      <c r="AL351" s="381"/>
      <c r="AM351" s="381"/>
      <c r="AN351" s="381"/>
      <c r="AO351" s="381"/>
    </row>
    <row r="352" spans="1:41" ht="15.75" customHeight="1">
      <c r="A352" s="298" t="s">
        <v>865</v>
      </c>
      <c r="B352" s="327">
        <f>('Pivot Table for Data Exchange'!$N$115)*100</f>
        <v>63.510321696820824</v>
      </c>
      <c r="C352" s="327">
        <f>('Pivot Table for Data Exchange'!$N$118)*100</f>
        <v>2.9170012754499504</v>
      </c>
      <c r="D352" s="328">
        <f t="shared" si="45"/>
        <v>33.572677027729227</v>
      </c>
      <c r="E352" s="327">
        <f>('Pivot Table for Data Exchange'!$N$121)*100</f>
        <v>33.381359535169352</v>
      </c>
      <c r="F352" s="327">
        <f>('Pivot Table for Data Exchange'!$N$124)*100</f>
        <v>0</v>
      </c>
      <c r="G352" s="335">
        <f>('Pivot Table for Data Exchange'!$N$127)*100</f>
        <v>0.19131749255987529</v>
      </c>
      <c r="H352" s="327">
        <f>('Pivot Table for Data Exchange'!$N$130)*100</f>
        <v>0</v>
      </c>
      <c r="I352" s="298"/>
      <c r="J352" s="366"/>
      <c r="K352" s="366"/>
      <c r="L352" s="366"/>
      <c r="M352" s="366"/>
      <c r="N352" s="366"/>
      <c r="O352" s="366"/>
      <c r="P352" s="366"/>
      <c r="Q352" s="332">
        <f t="shared" si="44"/>
        <v>100</v>
      </c>
      <c r="R352" s="332"/>
      <c r="S352" s="381"/>
      <c r="U352" s="381"/>
      <c r="V352" s="381"/>
      <c r="W352" s="381"/>
      <c r="X352" s="381"/>
      <c r="Y352" s="381"/>
      <c r="Z352" s="381"/>
      <c r="AA352" s="381"/>
      <c r="AB352" s="381"/>
      <c r="AC352" s="381"/>
      <c r="AD352" s="381"/>
      <c r="AE352" s="381"/>
      <c r="AF352" s="381"/>
      <c r="AG352" s="381"/>
      <c r="AH352" s="381"/>
      <c r="AI352" s="381"/>
      <c r="AJ352" s="381"/>
      <c r="AK352" s="381"/>
      <c r="AL352" s="381"/>
      <c r="AM352" s="381"/>
      <c r="AN352" s="381"/>
      <c r="AO352" s="381"/>
    </row>
    <row r="353" spans="1:41" ht="15.75" customHeight="1">
      <c r="B353" s="327"/>
      <c r="C353" s="327"/>
      <c r="D353" s="328"/>
      <c r="E353" s="327"/>
      <c r="F353" s="327"/>
      <c r="G353" s="335"/>
      <c r="H353" s="327"/>
      <c r="I353" s="298"/>
      <c r="J353" s="366"/>
      <c r="K353" s="366"/>
      <c r="L353" s="366"/>
      <c r="M353" s="366"/>
      <c r="N353" s="366"/>
      <c r="O353" s="366"/>
      <c r="P353" s="366"/>
      <c r="Q353" s="332">
        <f t="shared" si="44"/>
        <v>0</v>
      </c>
      <c r="R353" s="332"/>
      <c r="S353" s="381"/>
      <c r="U353" s="381"/>
      <c r="V353" s="381"/>
      <c r="W353" s="381"/>
      <c r="X353" s="381"/>
      <c r="Y353" s="381"/>
      <c r="Z353" s="381"/>
      <c r="AA353" s="381"/>
      <c r="AB353" s="381"/>
      <c r="AC353" s="381"/>
      <c r="AD353" s="381"/>
      <c r="AE353" s="381"/>
      <c r="AF353" s="381"/>
      <c r="AG353" s="381"/>
      <c r="AH353" s="381"/>
      <c r="AI353" s="381"/>
      <c r="AJ353" s="381"/>
      <c r="AK353" s="381"/>
      <c r="AL353" s="381"/>
      <c r="AM353" s="381"/>
      <c r="AN353" s="381"/>
      <c r="AO353" s="381"/>
    </row>
    <row r="354" spans="1:41" ht="15.75" customHeight="1">
      <c r="A354" s="298" t="s">
        <v>829</v>
      </c>
      <c r="B354" s="327">
        <f>('Pivot Table for Data Exchange'!$N$151)*100</f>
        <v>0</v>
      </c>
      <c r="C354" s="327">
        <f>('Pivot Table for Data Exchange'!$N$154)*100</f>
        <v>0</v>
      </c>
      <c r="D354" s="328">
        <f t="shared" ref="D354:D355" si="46">SUM(E354:G354)</f>
        <v>0</v>
      </c>
      <c r="E354" s="327">
        <f>('Pivot Table for Data Exchange'!$N$157)*100</f>
        <v>0</v>
      </c>
      <c r="F354" s="327">
        <f>('Pivot Table for Data Exchange'!$N$160)*100</f>
        <v>0</v>
      </c>
      <c r="G354" s="335">
        <f>('Pivot Table for Data Exchange'!$N$163)*100</f>
        <v>0</v>
      </c>
      <c r="H354" s="327">
        <f>('Pivot Table for Data Exchange'!$N$166)*100</f>
        <v>0</v>
      </c>
      <c r="I354" s="298"/>
      <c r="J354" s="366"/>
      <c r="K354" s="366"/>
      <c r="L354" s="366"/>
      <c r="M354" s="366"/>
      <c r="N354" s="366"/>
      <c r="O354" s="366"/>
      <c r="P354" s="366"/>
      <c r="Q354" s="332">
        <f t="shared" si="44"/>
        <v>0</v>
      </c>
      <c r="R354" s="332"/>
      <c r="S354" s="381"/>
      <c r="T354" s="381"/>
      <c r="U354" s="381"/>
      <c r="V354" s="381"/>
      <c r="W354" s="381"/>
      <c r="X354" s="381"/>
      <c r="Y354" s="381"/>
      <c r="Z354" s="381"/>
      <c r="AA354" s="381"/>
      <c r="AB354" s="381"/>
      <c r="AC354" s="381"/>
      <c r="AD354" s="381"/>
      <c r="AE354" s="381"/>
      <c r="AF354" s="381"/>
      <c r="AG354" s="381"/>
      <c r="AH354" s="381"/>
      <c r="AI354" s="381"/>
      <c r="AJ354" s="381"/>
      <c r="AK354" s="381"/>
      <c r="AL354" s="381"/>
      <c r="AM354" s="381"/>
      <c r="AN354" s="381"/>
      <c r="AO354" s="381"/>
    </row>
    <row r="355" spans="1:41" ht="15.75" customHeight="1">
      <c r="A355" s="298" t="s">
        <v>830</v>
      </c>
      <c r="B355" s="327">
        <f>('Pivot Table for Data Exchange'!$N$187)*100</f>
        <v>46.077740929015626</v>
      </c>
      <c r="C355" s="327">
        <f>('Pivot Table for Data Exchange'!$N$190)*100</f>
        <v>5.4812178017934965</v>
      </c>
      <c r="D355" s="328">
        <f t="shared" si="46"/>
        <v>48.441041269190876</v>
      </c>
      <c r="E355" s="327">
        <f>('Pivot Table for Data Exchange'!$N$193)*100</f>
        <v>48.441041269190876</v>
      </c>
      <c r="F355" s="327">
        <f>('Pivot Table for Data Exchange'!$N$196)*100</f>
        <v>0</v>
      </c>
      <c r="G355" s="335">
        <f>('Pivot Table for Data Exchange'!$N$199)*100</f>
        <v>0</v>
      </c>
      <c r="H355" s="327">
        <f>('Pivot Table for Data Exchange'!$N$202)*100</f>
        <v>0</v>
      </c>
      <c r="I355" s="298"/>
      <c r="J355" s="366"/>
      <c r="K355" s="366"/>
      <c r="L355" s="366"/>
      <c r="M355" s="366"/>
      <c r="N355" s="366"/>
      <c r="O355" s="366"/>
      <c r="P355" s="366"/>
      <c r="Q355" s="332">
        <f t="shared" si="44"/>
        <v>100</v>
      </c>
      <c r="R355" s="332"/>
      <c r="S355" s="381"/>
      <c r="T355" s="381"/>
      <c r="U355" s="381"/>
      <c r="V355" s="381"/>
      <c r="W355" s="381"/>
      <c r="X355" s="381"/>
      <c r="Y355" s="381"/>
      <c r="Z355" s="381"/>
      <c r="AA355" s="381"/>
      <c r="AB355" s="381"/>
      <c r="AC355" s="381"/>
      <c r="AD355" s="381"/>
      <c r="AE355" s="381"/>
      <c r="AF355" s="381"/>
      <c r="AG355" s="381"/>
      <c r="AH355" s="381"/>
      <c r="AI355" s="381"/>
      <c r="AJ355" s="381"/>
      <c r="AK355" s="381"/>
      <c r="AL355" s="381"/>
      <c r="AM355" s="381"/>
      <c r="AN355" s="381"/>
      <c r="AO355" s="381"/>
    </row>
    <row r="356" spans="1:41" ht="15.75" customHeight="1">
      <c r="A356" s="298" t="s">
        <v>831</v>
      </c>
      <c r="B356" s="327">
        <f>('Pivot Table for Data Exchange'!$N$223)*100</f>
        <v>73.416646713265351</v>
      </c>
      <c r="C356" s="327">
        <f>('Pivot Table for Data Exchange'!$N$226)*100</f>
        <v>0</v>
      </c>
      <c r="D356" s="328">
        <f>SUM(E356:G356)</f>
        <v>26.583353286734653</v>
      </c>
      <c r="E356" s="327">
        <f>('Pivot Table for Data Exchange'!$N$229)*100</f>
        <v>26.583353286734653</v>
      </c>
      <c r="F356" s="327">
        <f>('Pivot Table for Data Exchange'!$N$232)*100</f>
        <v>0</v>
      </c>
      <c r="G356" s="335">
        <f>('Pivot Table for Data Exchange'!$N$235)*100</f>
        <v>0</v>
      </c>
      <c r="H356" s="327">
        <f>('Pivot Table for Data Exchange'!$N$238)*100</f>
        <v>0</v>
      </c>
      <c r="I356" s="298"/>
      <c r="J356" s="366"/>
      <c r="K356" s="366"/>
      <c r="L356" s="366"/>
      <c r="M356" s="366"/>
      <c r="N356" s="366"/>
      <c r="O356" s="366"/>
      <c r="P356" s="366"/>
      <c r="Q356" s="332">
        <f t="shared" si="44"/>
        <v>100</v>
      </c>
      <c r="R356" s="332"/>
      <c r="S356" s="381"/>
      <c r="T356" s="385"/>
      <c r="U356" s="381"/>
      <c r="V356" s="381"/>
      <c r="W356" s="381"/>
      <c r="X356" s="381"/>
      <c r="Y356" s="381"/>
      <c r="Z356" s="381"/>
      <c r="AA356" s="381"/>
      <c r="AB356" s="381"/>
      <c r="AC356" s="381"/>
      <c r="AD356" s="381"/>
      <c r="AE356" s="381"/>
      <c r="AF356" s="381"/>
      <c r="AG356" s="381"/>
      <c r="AH356" s="381"/>
      <c r="AI356" s="381"/>
      <c r="AJ356" s="381"/>
      <c r="AK356" s="381"/>
      <c r="AL356" s="381"/>
      <c r="AM356" s="381"/>
      <c r="AN356" s="381"/>
      <c r="AO356" s="381"/>
    </row>
    <row r="357" spans="1:41" ht="15.75" customHeight="1">
      <c r="A357" s="298" t="s">
        <v>832</v>
      </c>
      <c r="B357" s="327">
        <f>('Pivot Table for Data Exchange'!$N$259)*100</f>
        <v>67.390489153079074</v>
      </c>
      <c r="C357" s="327">
        <f>('Pivot Table for Data Exchange'!$N$262)*100</f>
        <v>6.4102386044832098</v>
      </c>
      <c r="D357" s="328">
        <f>SUM(E357:G357)</f>
        <v>26.199272242437711</v>
      </c>
      <c r="E357" s="327">
        <f>('Pivot Table for Data Exchange'!$N$265)*100</f>
        <v>25.491653009638622</v>
      </c>
      <c r="F357" s="327">
        <f>('Pivot Table for Data Exchange'!$N$268)*100</f>
        <v>0.70761923279908889</v>
      </c>
      <c r="G357" s="335">
        <f>('Pivot Table for Data Exchange'!$N$271)*100</f>
        <v>0</v>
      </c>
      <c r="H357" s="327">
        <f>('Pivot Table for Data Exchange'!$N$274)*100</f>
        <v>0</v>
      </c>
      <c r="I357" s="298"/>
      <c r="J357" s="366"/>
      <c r="K357" s="366"/>
      <c r="L357" s="366"/>
      <c r="M357" s="366"/>
      <c r="N357" s="366"/>
      <c r="O357" s="366"/>
      <c r="P357" s="366"/>
      <c r="Q357" s="332">
        <f t="shared" si="44"/>
        <v>100</v>
      </c>
      <c r="R357" s="332"/>
      <c r="S357" s="381"/>
      <c r="U357" s="381"/>
      <c r="V357" s="381"/>
      <c r="W357" s="381"/>
      <c r="X357" s="381"/>
      <c r="Y357" s="381"/>
      <c r="Z357" s="381"/>
      <c r="AA357" s="381"/>
      <c r="AB357" s="381"/>
      <c r="AC357" s="381"/>
      <c r="AD357" s="381"/>
      <c r="AE357" s="381"/>
      <c r="AF357" s="381"/>
      <c r="AG357" s="381"/>
      <c r="AH357" s="381"/>
      <c r="AI357" s="381"/>
      <c r="AJ357" s="381"/>
      <c r="AK357" s="381"/>
      <c r="AL357" s="381"/>
      <c r="AM357" s="381"/>
      <c r="AN357" s="381"/>
      <c r="AO357" s="381"/>
    </row>
    <row r="358" spans="1:41" ht="12.75" customHeight="1">
      <c r="B358" s="327"/>
      <c r="C358" s="327"/>
      <c r="D358" s="328"/>
      <c r="E358" s="327"/>
      <c r="F358" s="327"/>
      <c r="G358" s="335"/>
      <c r="H358" s="327"/>
      <c r="I358" s="298"/>
      <c r="J358" s="366"/>
      <c r="K358" s="366"/>
      <c r="L358" s="366"/>
      <c r="M358" s="366"/>
      <c r="N358" s="366"/>
      <c r="O358" s="366"/>
      <c r="P358" s="366"/>
      <c r="Q358" s="332">
        <f t="shared" si="44"/>
        <v>0</v>
      </c>
      <c r="R358" s="332"/>
      <c r="S358" s="381"/>
      <c r="U358" s="381"/>
      <c r="V358" s="381"/>
      <c r="W358" s="381"/>
      <c r="X358" s="381"/>
      <c r="Y358" s="381"/>
      <c r="Z358" s="381"/>
      <c r="AA358" s="381"/>
      <c r="AB358" s="381"/>
      <c r="AC358" s="381"/>
      <c r="AD358" s="381"/>
      <c r="AE358" s="381"/>
      <c r="AF358" s="381"/>
      <c r="AG358" s="381"/>
      <c r="AH358" s="381"/>
      <c r="AI358" s="381"/>
      <c r="AJ358" s="381"/>
      <c r="AK358" s="381"/>
      <c r="AL358" s="381"/>
      <c r="AM358" s="381"/>
      <c r="AN358" s="381"/>
      <c r="AO358" s="381"/>
    </row>
    <row r="359" spans="1:41" ht="15.75" customHeight="1">
      <c r="A359" s="298" t="s">
        <v>880</v>
      </c>
      <c r="B359" s="327">
        <f>('Pivot Table for Data Exchange'!$N$295)*100</f>
        <v>75.163609461843421</v>
      </c>
      <c r="C359" s="327">
        <f>('Pivot Table for Data Exchange'!$N$298)*100</f>
        <v>0.36041504637972571</v>
      </c>
      <c r="D359" s="328">
        <f>SUM(E359:G359)</f>
        <v>24.475975491776847</v>
      </c>
      <c r="E359" s="327">
        <f>('Pivot Table for Data Exchange'!$N$301)*100</f>
        <v>24.475975491776847</v>
      </c>
      <c r="F359" s="327">
        <f>('Pivot Table for Data Exchange'!$N$304)*100</f>
        <v>0</v>
      </c>
      <c r="G359" s="335">
        <f>('Pivot Table for Data Exchange'!$N$307)*100</f>
        <v>0</v>
      </c>
      <c r="H359" s="327">
        <f>('Pivot Table for Data Exchange'!$N$310)*100</f>
        <v>0</v>
      </c>
      <c r="I359" s="373"/>
      <c r="J359" s="366"/>
      <c r="K359" s="366"/>
      <c r="L359" s="366"/>
      <c r="M359" s="366"/>
      <c r="N359" s="366"/>
      <c r="O359" s="366"/>
      <c r="P359" s="366"/>
      <c r="Q359" s="332">
        <f t="shared" si="44"/>
        <v>100</v>
      </c>
      <c r="R359" s="332"/>
      <c r="S359" s="381"/>
      <c r="T359" s="381"/>
      <c r="U359" s="381"/>
      <c r="V359" s="381"/>
      <c r="W359" s="381"/>
      <c r="X359" s="381"/>
      <c r="Y359" s="381"/>
      <c r="Z359" s="381"/>
      <c r="AA359" s="381"/>
      <c r="AB359" s="381"/>
      <c r="AC359" s="381"/>
      <c r="AD359" s="381"/>
      <c r="AE359" s="381"/>
      <c r="AF359" s="381"/>
      <c r="AG359" s="381"/>
      <c r="AH359" s="381"/>
      <c r="AI359" s="381"/>
      <c r="AJ359" s="381"/>
      <c r="AK359" s="381"/>
      <c r="AL359" s="381"/>
      <c r="AM359" s="381"/>
      <c r="AN359" s="381"/>
      <c r="AO359" s="381"/>
    </row>
    <row r="360" spans="1:41" ht="15.75" customHeight="1">
      <c r="A360" s="298" t="s">
        <v>834</v>
      </c>
      <c r="B360" s="327">
        <f>('Pivot Table for Data Exchange'!$N$331)*100</f>
        <v>42.964421309869721</v>
      </c>
      <c r="C360" s="327">
        <f>('Pivot Table for Data Exchange'!$N$334)*100</f>
        <v>4.5267913007301805</v>
      </c>
      <c r="D360" s="328">
        <f>SUM(E360:G360)</f>
        <v>52.508787389400098</v>
      </c>
      <c r="E360" s="327">
        <f>('Pivot Table for Data Exchange'!$N$337)*100</f>
        <v>51.828726983263827</v>
      </c>
      <c r="F360" s="327">
        <f>('Pivot Table for Data Exchange'!$N$340)*100</f>
        <v>0.60144070600490718</v>
      </c>
      <c r="G360" s="335">
        <f>('Pivot Table for Data Exchange'!$N$343)*100</f>
        <v>7.8619700131360409E-2</v>
      </c>
      <c r="H360" s="327">
        <f>('Pivot Table for Data Exchange'!$N$346)*100</f>
        <v>0</v>
      </c>
      <c r="I360" s="298"/>
      <c r="J360" s="366"/>
      <c r="K360" s="366"/>
      <c r="L360" s="366"/>
      <c r="M360" s="366"/>
      <c r="N360" s="366"/>
      <c r="O360" s="366"/>
      <c r="P360" s="366"/>
      <c r="Q360" s="332">
        <f t="shared" si="44"/>
        <v>100</v>
      </c>
      <c r="R360" s="332"/>
      <c r="S360" s="381"/>
      <c r="T360" s="381"/>
      <c r="U360" s="381"/>
      <c r="V360" s="381"/>
      <c r="W360" s="381"/>
      <c r="X360" s="381"/>
      <c r="Y360" s="381"/>
      <c r="Z360" s="381"/>
      <c r="AA360" s="381"/>
      <c r="AB360" s="381"/>
      <c r="AC360" s="381"/>
      <c r="AD360" s="381"/>
      <c r="AE360" s="381"/>
      <c r="AF360" s="381"/>
      <c r="AG360" s="381"/>
      <c r="AH360" s="381"/>
      <c r="AI360" s="381"/>
      <c r="AJ360" s="381"/>
      <c r="AK360" s="381"/>
      <c r="AL360" s="381"/>
      <c r="AM360" s="381"/>
      <c r="AN360" s="381"/>
      <c r="AO360" s="381"/>
    </row>
    <row r="361" spans="1:41" ht="15.75" customHeight="1">
      <c r="A361" s="298" t="s">
        <v>835</v>
      </c>
      <c r="B361" s="327">
        <f>('Pivot Table for Data Exchange'!$N$367)*100</f>
        <v>65.245664514640737</v>
      </c>
      <c r="C361" s="327">
        <f>('Pivot Table for Data Exchange'!$N$370)*100</f>
        <v>3.0042115698151086</v>
      </c>
      <c r="D361" s="328">
        <f>SUM(E361:G361)</f>
        <v>31.750123915544155</v>
      </c>
      <c r="E361" s="327">
        <f>('Pivot Table for Data Exchange'!$N$373)*100</f>
        <v>27.681018009059084</v>
      </c>
      <c r="F361" s="327">
        <f>('Pivot Table for Data Exchange'!$N$376)*100</f>
        <v>4.0691059064850696</v>
      </c>
      <c r="G361" s="334">
        <f>('Pivot Table for Data Exchange'!$N$379)*100</f>
        <v>0</v>
      </c>
      <c r="H361" s="327">
        <f>('Pivot Table for Data Exchange'!$N$382)*100</f>
        <v>0</v>
      </c>
      <c r="I361" s="298"/>
      <c r="J361" s="366"/>
      <c r="K361" s="366"/>
      <c r="L361" s="366"/>
      <c r="M361" s="366"/>
      <c r="N361" s="366"/>
      <c r="O361" s="366"/>
      <c r="P361" s="366"/>
      <c r="Q361" s="332">
        <f t="shared" si="44"/>
        <v>100</v>
      </c>
      <c r="R361" s="332"/>
      <c r="S361" s="381"/>
      <c r="T361" s="385"/>
      <c r="U361" s="381"/>
      <c r="V361" s="381"/>
      <c r="W361" s="381"/>
      <c r="X361" s="381"/>
      <c r="Y361" s="381"/>
      <c r="Z361" s="381"/>
      <c r="AA361" s="381"/>
      <c r="AB361" s="381"/>
      <c r="AC361" s="381"/>
      <c r="AD361" s="381"/>
      <c r="AE361" s="381"/>
      <c r="AF361" s="381"/>
      <c r="AG361" s="381"/>
      <c r="AH361" s="381"/>
      <c r="AI361" s="381"/>
      <c r="AJ361" s="381"/>
      <c r="AK361" s="381"/>
      <c r="AL361" s="381"/>
      <c r="AM361" s="381"/>
      <c r="AN361" s="381"/>
      <c r="AO361" s="381"/>
    </row>
    <row r="362" spans="1:41" ht="15.75" customHeight="1">
      <c r="A362" s="298" t="s">
        <v>836</v>
      </c>
      <c r="B362" s="327">
        <f>('Pivot Table for Data Exchange'!$N$403)*100</f>
        <v>61.757075994286701</v>
      </c>
      <c r="C362" s="327">
        <f>('Pivot Table for Data Exchange'!$N$406)*100</f>
        <v>13.247952111975076</v>
      </c>
      <c r="D362" s="328">
        <f>SUM(E362:G362)</f>
        <v>24.994971893738217</v>
      </c>
      <c r="E362" s="327">
        <f>('Pivot Table for Data Exchange'!$N$409)*100</f>
        <v>23.587443028999388</v>
      </c>
      <c r="F362" s="327">
        <f>('Pivot Table for Data Exchange'!$N$412)*100</f>
        <v>1.4075288647388282</v>
      </c>
      <c r="G362" s="335">
        <f>('Pivot Table for Data Exchange'!$N$415)*100</f>
        <v>0</v>
      </c>
      <c r="H362" s="327">
        <f>('Pivot Table for Data Exchange'!$N$418)*100</f>
        <v>0</v>
      </c>
      <c r="I362" s="298"/>
      <c r="J362" s="366"/>
      <c r="K362" s="366"/>
      <c r="L362" s="366"/>
      <c r="M362" s="366"/>
      <c r="N362" s="366"/>
      <c r="O362" s="366"/>
      <c r="P362" s="366"/>
      <c r="Q362" s="332">
        <f t="shared" si="44"/>
        <v>100</v>
      </c>
      <c r="R362" s="332"/>
      <c r="S362" s="381"/>
      <c r="T362" s="381"/>
      <c r="U362" s="381"/>
      <c r="V362" s="381"/>
      <c r="W362" s="381"/>
      <c r="X362" s="381"/>
      <c r="Y362" s="381"/>
      <c r="Z362" s="381"/>
      <c r="AA362" s="381"/>
      <c r="AB362" s="381"/>
      <c r="AC362" s="381"/>
      <c r="AD362" s="381"/>
      <c r="AE362" s="381"/>
      <c r="AF362" s="381"/>
      <c r="AG362" s="381"/>
      <c r="AH362" s="381"/>
      <c r="AI362" s="381"/>
      <c r="AJ362" s="381"/>
      <c r="AK362" s="381"/>
      <c r="AL362" s="381"/>
      <c r="AM362" s="381"/>
      <c r="AN362" s="381"/>
      <c r="AO362" s="381"/>
    </row>
    <row r="363" spans="1:41" ht="12" customHeight="1">
      <c r="B363" s="327"/>
      <c r="C363" s="327"/>
      <c r="D363" s="328"/>
      <c r="E363" s="327"/>
      <c r="F363" s="327"/>
      <c r="G363" s="335"/>
      <c r="H363" s="327"/>
      <c r="I363" s="298"/>
      <c r="J363" s="366"/>
      <c r="K363" s="366"/>
      <c r="L363" s="366"/>
      <c r="M363" s="366"/>
      <c r="N363" s="366"/>
      <c r="O363" s="366"/>
      <c r="P363" s="366"/>
      <c r="Q363" s="332">
        <f t="shared" si="44"/>
        <v>0</v>
      </c>
      <c r="R363" s="332"/>
      <c r="S363" s="381"/>
      <c r="T363" s="381"/>
      <c r="U363" s="381"/>
      <c r="V363" s="381"/>
      <c r="W363" s="381"/>
      <c r="X363" s="381"/>
      <c r="Y363" s="381"/>
      <c r="Z363" s="381"/>
      <c r="AA363" s="381"/>
      <c r="AB363" s="381"/>
      <c r="AC363" s="381"/>
      <c r="AD363" s="381"/>
      <c r="AE363" s="381"/>
      <c r="AF363" s="381"/>
      <c r="AG363" s="381"/>
      <c r="AH363" s="381"/>
      <c r="AI363" s="381"/>
      <c r="AJ363" s="381"/>
      <c r="AK363" s="381"/>
      <c r="AL363" s="381"/>
      <c r="AM363" s="381"/>
      <c r="AN363" s="381"/>
      <c r="AO363" s="381"/>
    </row>
    <row r="364" spans="1:41" ht="15.75" customHeight="1">
      <c r="A364" s="298" t="s">
        <v>837</v>
      </c>
      <c r="B364" s="327">
        <f>('Pivot Table for Data Exchange'!$N$439)*100</f>
        <v>29.43698477968546</v>
      </c>
      <c r="C364" s="327">
        <f>('Pivot Table for Data Exchange'!$N$442)*100</f>
        <v>39.426656013096093</v>
      </c>
      <c r="D364" s="328">
        <f>SUM(E364:G364)</f>
        <v>30.61797205386549</v>
      </c>
      <c r="E364" s="327">
        <f>('Pivot Table for Data Exchange'!$N$445)*100</f>
        <v>23.04289361370413</v>
      </c>
      <c r="F364" s="327">
        <f>('Pivot Table for Data Exchange'!$N$448)*100</f>
        <v>5.6632822091867556</v>
      </c>
      <c r="G364" s="335">
        <f>('Pivot Table for Data Exchange'!$N$451)*100</f>
        <v>1.9117962309746068</v>
      </c>
      <c r="H364" s="327">
        <f>('Pivot Table for Data Exchange'!$N$454)*100</f>
        <v>0.51838715335295149</v>
      </c>
      <c r="I364" s="298"/>
      <c r="J364" s="366"/>
      <c r="K364" s="366"/>
      <c r="L364" s="366"/>
      <c r="M364" s="366"/>
      <c r="N364" s="366"/>
      <c r="O364" s="366"/>
      <c r="P364" s="366"/>
      <c r="Q364" s="332">
        <f t="shared" si="44"/>
        <v>99.999999999999986</v>
      </c>
      <c r="R364" s="332"/>
      <c r="S364" s="381"/>
      <c r="T364" s="381"/>
      <c r="U364" s="381"/>
      <c r="V364" s="381"/>
      <c r="W364" s="381"/>
      <c r="X364" s="381"/>
      <c r="Y364" s="381"/>
      <c r="Z364" s="381"/>
      <c r="AA364" s="381"/>
      <c r="AB364" s="381"/>
      <c r="AC364" s="381"/>
      <c r="AD364" s="381"/>
      <c r="AE364" s="381"/>
      <c r="AF364" s="381"/>
      <c r="AG364" s="381"/>
      <c r="AH364" s="381"/>
      <c r="AI364" s="381"/>
      <c r="AJ364" s="381"/>
      <c r="AK364" s="381"/>
      <c r="AL364" s="381"/>
      <c r="AM364" s="381"/>
      <c r="AN364" s="381"/>
      <c r="AO364" s="381"/>
    </row>
    <row r="365" spans="1:41" ht="15.75" customHeight="1">
      <c r="A365" s="298" t="s">
        <v>838</v>
      </c>
      <c r="B365" s="327">
        <f>('Pivot Table for Data Exchange'!$N$475)*100</f>
        <v>49.598532024412755</v>
      </c>
      <c r="C365" s="327">
        <f>('Pivot Table for Data Exchange'!$N$478)*100</f>
        <v>11.596788256195302</v>
      </c>
      <c r="D365" s="328">
        <f>SUM(E365:G365)</f>
        <v>38.804679719391942</v>
      </c>
      <c r="E365" s="327">
        <f>('Pivot Table for Data Exchange'!$N$481)*100</f>
        <v>37.532239647744227</v>
      </c>
      <c r="F365" s="327">
        <f>('Pivot Table for Data Exchange'!$N$484)*100</f>
        <v>0.91401909389717606</v>
      </c>
      <c r="G365" s="335">
        <f>('Pivot Table for Data Exchange'!$N$487)*100</f>
        <v>0.35842097775053899</v>
      </c>
      <c r="H365" s="327">
        <f>('Pivot Table for Data Exchange'!$N$490)*100</f>
        <v>0</v>
      </c>
      <c r="I365" s="298"/>
      <c r="J365" s="366"/>
      <c r="K365" s="366"/>
      <c r="L365" s="366"/>
      <c r="M365" s="366"/>
      <c r="N365" s="366"/>
      <c r="O365" s="366"/>
      <c r="P365" s="366"/>
      <c r="Q365" s="332">
        <f t="shared" si="44"/>
        <v>100</v>
      </c>
      <c r="R365" s="332"/>
      <c r="S365" s="381"/>
      <c r="T365" s="381"/>
      <c r="U365" s="381"/>
      <c r="V365" s="381"/>
      <c r="W365" s="381"/>
      <c r="X365" s="381"/>
      <c r="Y365" s="381"/>
      <c r="Z365" s="381"/>
      <c r="AA365" s="381"/>
      <c r="AB365" s="381"/>
      <c r="AC365" s="381"/>
      <c r="AD365" s="381"/>
      <c r="AE365" s="381"/>
      <c r="AF365" s="381"/>
      <c r="AG365" s="381"/>
      <c r="AH365" s="381"/>
      <c r="AI365" s="381"/>
      <c r="AJ365" s="381"/>
      <c r="AK365" s="381"/>
      <c r="AL365" s="381"/>
      <c r="AM365" s="381"/>
      <c r="AN365" s="381"/>
      <c r="AO365" s="381"/>
    </row>
    <row r="366" spans="1:41" ht="15.75" customHeight="1">
      <c r="A366" s="298" t="s">
        <v>839</v>
      </c>
      <c r="B366" s="327">
        <f>('Pivot Table for Data Exchange'!$N$511)*100</f>
        <v>36.359979034097179</v>
      </c>
      <c r="C366" s="327">
        <f>('Pivot Table for Data Exchange'!$N$514)*100</f>
        <v>25.065288557030936</v>
      </c>
      <c r="D366" s="328">
        <f>SUM(E366:G366)</f>
        <v>38.574732408871888</v>
      </c>
      <c r="E366" s="327">
        <f>('Pivot Table for Data Exchange'!$N$517)*100</f>
        <v>31.742882627726487</v>
      </c>
      <c r="F366" s="327">
        <f>('Pivot Table for Data Exchange'!$N$520)*100</f>
        <v>6.8318497811454009</v>
      </c>
      <c r="G366" s="335">
        <f>('Pivot Table for Data Exchange'!$N$523)*100</f>
        <v>0</v>
      </c>
      <c r="H366" s="327">
        <f>('Pivot Table for Data Exchange'!$N$526)*100</f>
        <v>0</v>
      </c>
      <c r="I366" s="298"/>
      <c r="J366" s="366"/>
      <c r="K366" s="366"/>
      <c r="L366" s="366"/>
      <c r="M366" s="366"/>
      <c r="N366" s="366"/>
      <c r="O366" s="366"/>
      <c r="P366" s="366"/>
      <c r="Q366" s="332">
        <f t="shared" si="44"/>
        <v>100</v>
      </c>
      <c r="R366" s="332"/>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row>
    <row r="367" spans="1:41" ht="15.75" customHeight="1">
      <c r="A367" s="304" t="s">
        <v>840</v>
      </c>
      <c r="B367" s="340">
        <f>('Pivot Table for Data Exchange'!$N$547)*100</f>
        <v>56.363887403924792</v>
      </c>
      <c r="C367" s="340">
        <f>('Pivot Table for Data Exchange'!$N$550)*100</f>
        <v>12.768134361911908</v>
      </c>
      <c r="D367" s="341">
        <f>SUM(E367:G367)</f>
        <v>30.867978234163303</v>
      </c>
      <c r="E367" s="340">
        <f>('Pivot Table for Data Exchange'!$N$553)*100</f>
        <v>29.302806405132038</v>
      </c>
      <c r="F367" s="340">
        <f>('Pivot Table for Data Exchange'!$N$556)*100</f>
        <v>1.5651718290312644</v>
      </c>
      <c r="G367" s="342">
        <f>('Pivot Table for Data Exchange'!$N$559)*100</f>
        <v>0</v>
      </c>
      <c r="H367" s="340">
        <f>('Pivot Table for Data Exchange'!$N$562)*100</f>
        <v>0</v>
      </c>
      <c r="I367" s="298"/>
      <c r="J367" s="366"/>
      <c r="K367" s="366"/>
      <c r="L367" s="366"/>
      <c r="M367" s="366"/>
      <c r="N367" s="366"/>
      <c r="O367" s="366"/>
      <c r="P367" s="366"/>
      <c r="Q367" s="332">
        <f t="shared" si="44"/>
        <v>100</v>
      </c>
      <c r="R367" s="332"/>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row>
    <row r="368" spans="1:41" s="371" customFormat="1" ht="12" customHeight="1">
      <c r="A368" s="346" t="s">
        <v>866</v>
      </c>
      <c r="B368" s="347"/>
      <c r="C368" s="347"/>
      <c r="D368" s="348"/>
      <c r="E368" s="347"/>
      <c r="F368" s="348"/>
      <c r="G368" s="348"/>
      <c r="H368" s="347"/>
      <c r="I368" s="356"/>
      <c r="J368" s="347"/>
      <c r="K368" s="347"/>
      <c r="L368" s="348"/>
      <c r="M368" s="347"/>
      <c r="N368" s="348"/>
      <c r="O368" s="348"/>
      <c r="P368" s="347"/>
      <c r="Q368" s="332">
        <f t="shared" si="44"/>
        <v>0</v>
      </c>
      <c r="R368" s="367"/>
      <c r="S368" s="384"/>
      <c r="T368" s="384"/>
      <c r="U368" s="384"/>
      <c r="V368" s="384"/>
      <c r="W368" s="384"/>
      <c r="X368" s="384"/>
      <c r="Y368" s="384"/>
      <c r="Z368" s="384"/>
      <c r="AA368" s="384"/>
      <c r="AB368" s="384"/>
      <c r="AC368" s="384"/>
      <c r="AD368" s="384"/>
      <c r="AE368" s="384"/>
      <c r="AF368" s="384"/>
      <c r="AG368" s="384"/>
      <c r="AH368" s="384"/>
      <c r="AI368" s="384"/>
      <c r="AJ368" s="384"/>
      <c r="AK368" s="384"/>
      <c r="AL368" s="384"/>
      <c r="AM368" s="384"/>
      <c r="AN368" s="384"/>
      <c r="AO368" s="384"/>
    </row>
    <row r="369" spans="1:41" s="371" customFormat="1" ht="22.5" customHeight="1">
      <c r="A369" s="455" t="s">
        <v>881</v>
      </c>
      <c r="B369" s="456"/>
      <c r="C369" s="456"/>
      <c r="D369" s="456"/>
      <c r="E369" s="456"/>
      <c r="F369" s="456"/>
      <c r="G369" s="456"/>
      <c r="H369" s="456"/>
      <c r="I369" s="356"/>
      <c r="J369" s="345"/>
      <c r="K369" s="345"/>
      <c r="L369" s="345"/>
      <c r="M369" s="345"/>
      <c r="N369" s="345"/>
      <c r="O369" s="345"/>
      <c r="P369" s="358"/>
      <c r="Q369" s="332">
        <f t="shared" si="44"/>
        <v>0</v>
      </c>
      <c r="R369" s="368"/>
    </row>
    <row r="370" spans="1:41" s="371" customFormat="1" ht="13.5" customHeight="1">
      <c r="A370" s="356"/>
      <c r="B370" s="345"/>
      <c r="C370" s="345"/>
      <c r="D370" s="345"/>
      <c r="E370" s="345"/>
      <c r="F370" s="345"/>
      <c r="G370" s="345"/>
      <c r="H370" s="345"/>
      <c r="I370" s="356"/>
      <c r="J370" s="345"/>
      <c r="K370" s="345"/>
      <c r="L370" s="345"/>
      <c r="M370" s="345"/>
      <c r="N370" s="345"/>
      <c r="O370" s="345"/>
      <c r="P370" s="345"/>
      <c r="Q370" s="332">
        <f t="shared" si="44"/>
        <v>0</v>
      </c>
      <c r="R370" s="368"/>
    </row>
    <row r="371" spans="1:41" s="371" customFormat="1">
      <c r="A371" s="345"/>
      <c r="B371" s="347"/>
      <c r="C371" s="347"/>
      <c r="D371" s="348"/>
      <c r="E371" s="347"/>
      <c r="F371" s="348"/>
      <c r="G371" s="348"/>
      <c r="H371" s="351" t="s">
        <v>980</v>
      </c>
      <c r="I371" s="372"/>
      <c r="J371" s="345"/>
      <c r="K371" s="345"/>
      <c r="L371" s="345"/>
      <c r="M371" s="345"/>
      <c r="N371" s="345"/>
      <c r="O371" s="345"/>
      <c r="P371" s="345"/>
      <c r="Q371" s="332">
        <f t="shared" si="44"/>
        <v>0</v>
      </c>
      <c r="R371" s="367"/>
      <c r="S371" s="384"/>
      <c r="T371" s="384"/>
      <c r="U371" s="384"/>
      <c r="V371" s="384"/>
      <c r="W371" s="384"/>
      <c r="X371" s="384"/>
      <c r="Y371" s="384"/>
      <c r="Z371" s="384"/>
      <c r="AA371" s="384"/>
      <c r="AB371" s="384"/>
      <c r="AC371" s="384"/>
      <c r="AD371" s="384"/>
      <c r="AE371" s="384"/>
      <c r="AF371" s="384"/>
      <c r="AG371" s="384"/>
      <c r="AH371" s="384"/>
      <c r="AI371" s="384"/>
      <c r="AJ371" s="384"/>
      <c r="AK371" s="384"/>
      <c r="AL371" s="384"/>
      <c r="AM371" s="384"/>
      <c r="AN371" s="384"/>
      <c r="AO371" s="384"/>
    </row>
    <row r="372" spans="1:41" ht="18">
      <c r="A372" s="293" t="s">
        <v>887</v>
      </c>
      <c r="B372" s="294"/>
      <c r="C372" s="294"/>
      <c r="D372" s="294"/>
      <c r="E372" s="294"/>
      <c r="F372" s="294"/>
      <c r="G372" s="294"/>
      <c r="H372" s="294"/>
      <c r="Q372" s="332">
        <f t="shared" si="44"/>
        <v>0</v>
      </c>
    </row>
    <row r="373" spans="1:41">
      <c r="A373" s="299"/>
      <c r="B373" s="295"/>
      <c r="C373" s="295"/>
      <c r="D373" s="295"/>
      <c r="E373" s="295"/>
      <c r="F373" s="295"/>
      <c r="G373" s="295"/>
      <c r="H373" s="295"/>
      <c r="Q373" s="332">
        <f t="shared" si="44"/>
        <v>0</v>
      </c>
    </row>
    <row r="374" spans="1:41" ht="15.75">
      <c r="A374" s="301" t="s">
        <v>846</v>
      </c>
      <c r="B374" s="295"/>
      <c r="C374" s="295"/>
      <c r="D374" s="295"/>
      <c r="E374" s="295"/>
      <c r="F374" s="295"/>
      <c r="G374" s="295"/>
      <c r="H374" s="295"/>
      <c r="Q374" s="332">
        <f t="shared" si="44"/>
        <v>0</v>
      </c>
    </row>
    <row r="375" spans="1:41" ht="15.75">
      <c r="A375" s="301" t="s">
        <v>993</v>
      </c>
      <c r="B375" s="295"/>
      <c r="C375" s="295"/>
      <c r="D375" s="295"/>
      <c r="E375" s="295"/>
      <c r="F375" s="295"/>
      <c r="G375" s="295"/>
      <c r="H375" s="295"/>
      <c r="Q375" s="332">
        <f t="shared" si="44"/>
        <v>0</v>
      </c>
    </row>
    <row r="376" spans="1:41">
      <c r="A376" s="304"/>
      <c r="B376" s="305"/>
      <c r="C376" s="305"/>
      <c r="D376" s="305"/>
      <c r="E376" s="305"/>
      <c r="F376" s="305"/>
      <c r="G376" s="305"/>
      <c r="H376" s="305"/>
      <c r="Q376" s="332">
        <f t="shared" si="44"/>
        <v>0</v>
      </c>
    </row>
    <row r="377" spans="1:41">
      <c r="A377" s="309"/>
      <c r="B377" s="310" t="s">
        <v>848</v>
      </c>
      <c r="C377" s="310"/>
      <c r="D377" s="310"/>
      <c r="E377" s="310"/>
      <c r="F377" s="310"/>
      <c r="G377" s="310"/>
      <c r="H377" s="311"/>
      <c r="Q377" s="332">
        <f t="shared" si="44"/>
        <v>0</v>
      </c>
    </row>
    <row r="378" spans="1:41">
      <c r="A378" s="309"/>
      <c r="B378" s="310" t="s">
        <v>849</v>
      </c>
      <c r="C378" s="310"/>
      <c r="D378" s="450" t="s">
        <v>850</v>
      </c>
      <c r="E378" s="448"/>
      <c r="F378" s="448"/>
      <c r="G378" s="448"/>
      <c r="H378" s="317" t="s">
        <v>740</v>
      </c>
      <c r="Q378" s="332">
        <f t="shared" si="44"/>
        <v>0</v>
      </c>
    </row>
    <row r="379" spans="1:41" ht="36">
      <c r="A379" s="309"/>
      <c r="B379" s="318" t="s">
        <v>851</v>
      </c>
      <c r="C379" s="319" t="s">
        <v>852</v>
      </c>
      <c r="D379" s="320" t="s">
        <v>853</v>
      </c>
      <c r="E379" s="321" t="s">
        <v>8</v>
      </c>
      <c r="F379" s="318" t="s">
        <v>854</v>
      </c>
      <c r="G379" s="322" t="s">
        <v>864</v>
      </c>
      <c r="H379" s="323" t="s">
        <v>856</v>
      </c>
      <c r="Q379" s="332">
        <f t="shared" si="44"/>
        <v>0</v>
      </c>
    </row>
    <row r="380" spans="1:41" ht="15.75" customHeight="1">
      <c r="A380" s="353" t="s">
        <v>825</v>
      </c>
      <c r="B380" s="380">
        <f>('Pivot Table for Data Exchange'!$R$7)*100</f>
        <v>86.489289849478965</v>
      </c>
      <c r="C380" s="327">
        <f>('Pivot Table for Data Exchange'!$R$10)*100</f>
        <v>4.5699054419143188</v>
      </c>
      <c r="D380" s="328">
        <f>SUM(E380:G380)</f>
        <v>8.9408047086067164</v>
      </c>
      <c r="E380" s="327">
        <f>('Pivot Table for Data Exchange'!$R$13)*100</f>
        <v>8.9408047086067164</v>
      </c>
      <c r="F380" s="327">
        <f>('Pivot Table for Data Exchange'!$R$16)*100</f>
        <v>0</v>
      </c>
      <c r="G380" s="331">
        <f>('Pivot Table for Data Exchange'!$R$19)*100</f>
        <v>0</v>
      </c>
      <c r="H380" s="327">
        <f>('Pivot Table for Data Exchange'!$R$22)*100</f>
        <v>0</v>
      </c>
      <c r="I380" s="298"/>
      <c r="J380" s="366"/>
      <c r="K380" s="366"/>
      <c r="L380" s="366"/>
      <c r="M380" s="366"/>
      <c r="N380" s="366"/>
      <c r="O380" s="366"/>
      <c r="P380" s="366"/>
      <c r="Q380" s="332">
        <f t="shared" si="44"/>
        <v>100</v>
      </c>
      <c r="R380" s="332"/>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row>
    <row r="381" spans="1:41" ht="15.75" customHeight="1">
      <c r="A381" s="298" t="s">
        <v>826</v>
      </c>
      <c r="B381" s="327">
        <f>('Pivot Table for Data Exchange'!$R$43)*100</f>
        <v>0</v>
      </c>
      <c r="C381" s="327">
        <f>('Pivot Table for Data Exchange'!$R$46)*100</f>
        <v>0</v>
      </c>
      <c r="D381" s="328">
        <f t="shared" ref="D381:D383" si="47">SUM(E381:G381)</f>
        <v>0</v>
      </c>
      <c r="E381" s="327">
        <f>('Pivot Table for Data Exchange'!$R$49)*100</f>
        <v>0</v>
      </c>
      <c r="F381" s="327">
        <f>('Pivot Table for Data Exchange'!$R$52)*100</f>
        <v>0</v>
      </c>
      <c r="G381" s="335">
        <f>('Pivot Table for Data Exchange'!$R$55)*100</f>
        <v>0</v>
      </c>
      <c r="H381" s="327">
        <f>('Pivot Table for Data Exchange'!$R$58)*100</f>
        <v>0</v>
      </c>
      <c r="I381" s="298"/>
      <c r="J381" s="366"/>
      <c r="K381" s="366"/>
      <c r="L381" s="366"/>
      <c r="M381" s="366"/>
      <c r="N381" s="366"/>
      <c r="O381" s="366"/>
      <c r="P381" s="366"/>
      <c r="Q381" s="332">
        <f t="shared" si="44"/>
        <v>0</v>
      </c>
      <c r="R381" s="332"/>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row>
    <row r="382" spans="1:41" ht="15.75" customHeight="1">
      <c r="A382" s="298" t="s">
        <v>827</v>
      </c>
      <c r="B382" s="327">
        <f>('Pivot Table for Data Exchange'!$R$79)*100</f>
        <v>0</v>
      </c>
      <c r="C382" s="327">
        <f>('Pivot Table for Data Exchange'!$R$82)*100</f>
        <v>0</v>
      </c>
      <c r="D382" s="328">
        <f t="shared" si="47"/>
        <v>0</v>
      </c>
      <c r="E382" s="327">
        <f>('Pivot Table for Data Exchange'!$R$85)*100</f>
        <v>0</v>
      </c>
      <c r="F382" s="327">
        <f>('Pivot Table for Data Exchange'!$R$88)*100</f>
        <v>0</v>
      </c>
      <c r="G382" s="335">
        <f>('Pivot Table for Data Exchange'!$R$91)*100</f>
        <v>0</v>
      </c>
      <c r="H382" s="327">
        <f>('Pivot Table for Data Exchange'!$R$94)*100</f>
        <v>0</v>
      </c>
      <c r="I382" s="298"/>
      <c r="J382" s="366"/>
      <c r="K382" s="366"/>
      <c r="L382" s="366"/>
      <c r="M382" s="366"/>
      <c r="N382" s="366"/>
      <c r="O382" s="366"/>
      <c r="P382" s="366"/>
      <c r="Q382" s="332">
        <f t="shared" si="44"/>
        <v>0</v>
      </c>
      <c r="R382" s="332"/>
      <c r="S382" s="381"/>
      <c r="T382" s="385"/>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row>
    <row r="383" spans="1:41" ht="15.75" customHeight="1">
      <c r="A383" s="298" t="s">
        <v>828</v>
      </c>
      <c r="B383" s="327">
        <f>('Pivot Table for Data Exchange'!$R$115)*100</f>
        <v>0</v>
      </c>
      <c r="C383" s="327">
        <f>('Pivot Table for Data Exchange'!$R$118)*100</f>
        <v>0</v>
      </c>
      <c r="D383" s="328">
        <f t="shared" si="47"/>
        <v>0</v>
      </c>
      <c r="E383" s="327">
        <f>('Pivot Table for Data Exchange'!$R$121)*100</f>
        <v>0</v>
      </c>
      <c r="F383" s="327">
        <f>('Pivot Table for Data Exchange'!$R$124)*100</f>
        <v>0</v>
      </c>
      <c r="G383" s="335">
        <f>('Pivot Table for Data Exchange'!$R$127)*100</f>
        <v>0</v>
      </c>
      <c r="H383" s="327">
        <f>('Pivot Table for Data Exchange'!$R$130)*100</f>
        <v>0</v>
      </c>
      <c r="I383" s="298"/>
      <c r="J383" s="366"/>
      <c r="K383" s="366"/>
      <c r="L383" s="366"/>
      <c r="M383" s="366"/>
      <c r="N383" s="366"/>
      <c r="O383" s="366"/>
      <c r="P383" s="366"/>
      <c r="Q383" s="332">
        <f t="shared" si="44"/>
        <v>0</v>
      </c>
      <c r="R383" s="332"/>
      <c r="S383" s="381"/>
      <c r="U383" s="381"/>
      <c r="V383" s="381"/>
      <c r="W383" s="381"/>
      <c r="X383" s="381"/>
      <c r="Y383" s="381"/>
      <c r="Z383" s="381"/>
      <c r="AA383" s="381"/>
      <c r="AB383" s="381"/>
      <c r="AC383" s="381"/>
      <c r="AD383" s="381"/>
      <c r="AE383" s="381"/>
      <c r="AF383" s="381"/>
      <c r="AG383" s="381"/>
      <c r="AH383" s="381"/>
      <c r="AI383" s="381"/>
      <c r="AJ383" s="381"/>
      <c r="AK383" s="381"/>
      <c r="AL383" s="381"/>
      <c r="AM383" s="381"/>
      <c r="AN383" s="381"/>
      <c r="AO383" s="381"/>
    </row>
    <row r="384" spans="1:41" ht="15.75" customHeight="1">
      <c r="B384" s="327"/>
      <c r="C384" s="327"/>
      <c r="D384" s="328"/>
      <c r="E384" s="327"/>
      <c r="F384" s="327"/>
      <c r="G384" s="335"/>
      <c r="H384" s="327"/>
      <c r="I384" s="298"/>
      <c r="J384" s="366"/>
      <c r="K384" s="366"/>
      <c r="L384" s="366"/>
      <c r="M384" s="366"/>
      <c r="N384" s="366"/>
      <c r="O384" s="366"/>
      <c r="P384" s="366"/>
      <c r="Q384" s="332">
        <f t="shared" si="44"/>
        <v>0</v>
      </c>
      <c r="R384" s="332"/>
      <c r="S384" s="381"/>
      <c r="U384" s="381"/>
      <c r="V384" s="381"/>
      <c r="W384" s="381"/>
      <c r="X384" s="381"/>
      <c r="Y384" s="381"/>
      <c r="Z384" s="381"/>
      <c r="AA384" s="381"/>
      <c r="AB384" s="381"/>
      <c r="AC384" s="381"/>
      <c r="AD384" s="381"/>
      <c r="AE384" s="381"/>
      <c r="AF384" s="381"/>
      <c r="AG384" s="381"/>
      <c r="AH384" s="381"/>
      <c r="AI384" s="381"/>
      <c r="AJ384" s="381"/>
      <c r="AK384" s="381"/>
      <c r="AL384" s="381"/>
      <c r="AM384" s="381"/>
      <c r="AN384" s="381"/>
      <c r="AO384" s="381"/>
    </row>
    <row r="385" spans="1:41" ht="15.75" customHeight="1">
      <c r="A385" s="298" t="s">
        <v>829</v>
      </c>
      <c r="B385" s="327">
        <f>('Pivot Table for Data Exchange'!$R$151)*100</f>
        <v>63.456766317035587</v>
      </c>
      <c r="C385" s="327">
        <f>('Pivot Table for Data Exchange'!$R$154)*100</f>
        <v>0</v>
      </c>
      <c r="D385" s="328">
        <f t="shared" ref="D385:D386" si="48">SUM(E385:G385)</f>
        <v>36.54323368296442</v>
      </c>
      <c r="E385" s="327">
        <f>('Pivot Table for Data Exchange'!$R$157)*100</f>
        <v>35.971390503270385</v>
      </c>
      <c r="F385" s="327">
        <f>('Pivot Table for Data Exchange'!$R$160)*100</f>
        <v>0.5718431796940332</v>
      </c>
      <c r="G385" s="335">
        <f>('Pivot Table for Data Exchange'!$R$163)*100</f>
        <v>0</v>
      </c>
      <c r="H385" s="327">
        <f>('Pivot Table for Data Exchange'!$R$166)*100</f>
        <v>0</v>
      </c>
      <c r="I385" s="298"/>
      <c r="J385" s="366"/>
      <c r="K385" s="366"/>
      <c r="L385" s="366"/>
      <c r="M385" s="366"/>
      <c r="N385" s="366"/>
      <c r="O385" s="366"/>
      <c r="P385" s="366"/>
      <c r="Q385" s="332">
        <f t="shared" si="44"/>
        <v>100</v>
      </c>
      <c r="R385" s="332"/>
      <c r="S385" s="381"/>
      <c r="T385" s="381"/>
      <c r="U385" s="381"/>
      <c r="V385" s="381"/>
      <c r="W385" s="381"/>
      <c r="X385" s="381"/>
      <c r="Y385" s="381"/>
      <c r="Z385" s="381"/>
      <c r="AA385" s="381"/>
      <c r="AB385" s="381"/>
      <c r="AC385" s="381"/>
      <c r="AD385" s="381"/>
      <c r="AE385" s="381"/>
      <c r="AF385" s="381"/>
      <c r="AG385" s="381"/>
      <c r="AH385" s="381"/>
      <c r="AI385" s="381"/>
      <c r="AJ385" s="381"/>
      <c r="AK385" s="381"/>
      <c r="AL385" s="381"/>
      <c r="AM385" s="381"/>
      <c r="AN385" s="381"/>
      <c r="AO385" s="381"/>
    </row>
    <row r="386" spans="1:41" ht="15.75" customHeight="1">
      <c r="A386" s="298" t="s">
        <v>830</v>
      </c>
      <c r="B386" s="327">
        <f>('Pivot Table for Data Exchange'!$R$187)*100</f>
        <v>63.362474243303254</v>
      </c>
      <c r="C386" s="327">
        <f>('Pivot Table for Data Exchange'!$R$190)*100</f>
        <v>5.219357032828535</v>
      </c>
      <c r="D386" s="328">
        <f t="shared" si="48"/>
        <v>31.418168723868206</v>
      </c>
      <c r="E386" s="327">
        <f>('Pivot Table for Data Exchange'!$R$193)*100</f>
        <v>31.418168723868206</v>
      </c>
      <c r="F386" s="327">
        <f>('Pivot Table for Data Exchange'!$R$196)*100</f>
        <v>0</v>
      </c>
      <c r="G386" s="335">
        <f>('Pivot Table for Data Exchange'!$R$199)*100</f>
        <v>0</v>
      </c>
      <c r="H386" s="327">
        <f>('Pivot Table for Data Exchange'!$R$202)*100</f>
        <v>0</v>
      </c>
      <c r="I386" s="298"/>
      <c r="J386" s="366"/>
      <c r="K386" s="366"/>
      <c r="L386" s="366"/>
      <c r="M386" s="366"/>
      <c r="N386" s="366"/>
      <c r="O386" s="366"/>
      <c r="P386" s="366"/>
      <c r="Q386" s="332">
        <f t="shared" si="44"/>
        <v>100</v>
      </c>
      <c r="R386" s="332"/>
      <c r="S386" s="381"/>
      <c r="T386" s="381"/>
      <c r="U386" s="381"/>
      <c r="V386" s="381"/>
      <c r="W386" s="381"/>
      <c r="X386" s="381"/>
      <c r="Y386" s="381"/>
      <c r="Z386" s="381"/>
      <c r="AA386" s="381"/>
      <c r="AB386" s="381"/>
      <c r="AC386" s="381"/>
      <c r="AD386" s="381"/>
      <c r="AE386" s="381"/>
      <c r="AF386" s="381"/>
      <c r="AG386" s="381"/>
      <c r="AH386" s="381"/>
      <c r="AI386" s="381"/>
      <c r="AJ386" s="381"/>
      <c r="AK386" s="381"/>
      <c r="AL386" s="381"/>
      <c r="AM386" s="381"/>
      <c r="AN386" s="381"/>
      <c r="AO386" s="381"/>
    </row>
    <row r="387" spans="1:41" ht="15.75" customHeight="1">
      <c r="A387" s="298" t="s">
        <v>831</v>
      </c>
      <c r="B387" s="327">
        <f>('Pivot Table for Data Exchange'!$R$223)*100</f>
        <v>81.208959974508431</v>
      </c>
      <c r="C387" s="327">
        <f>('Pivot Table for Data Exchange'!$R$226)*100</f>
        <v>0</v>
      </c>
      <c r="D387" s="328">
        <f>SUM(E387:G387)</f>
        <v>18.791040025491569</v>
      </c>
      <c r="E387" s="327">
        <f>('Pivot Table for Data Exchange'!$R$229)*100</f>
        <v>18.791040025491569</v>
      </c>
      <c r="F387" s="327">
        <f>('Pivot Table for Data Exchange'!$R$232)*100</f>
        <v>0</v>
      </c>
      <c r="G387" s="335">
        <f>('Pivot Table for Data Exchange'!$R$235)*100</f>
        <v>0</v>
      </c>
      <c r="H387" s="327">
        <f>('Pivot Table for Data Exchange'!$R$238)*100</f>
        <v>0</v>
      </c>
      <c r="I387" s="373"/>
      <c r="J387" s="366"/>
      <c r="K387" s="366"/>
      <c r="L387" s="366"/>
      <c r="M387" s="366"/>
      <c r="N387" s="366"/>
      <c r="O387" s="366"/>
      <c r="P387" s="366"/>
      <c r="Q387" s="332">
        <f t="shared" si="44"/>
        <v>100</v>
      </c>
      <c r="R387" s="332"/>
      <c r="S387" s="381"/>
      <c r="T387" s="385"/>
      <c r="U387" s="381"/>
      <c r="V387" s="381"/>
      <c r="W387" s="381"/>
      <c r="X387" s="381"/>
      <c r="Y387" s="381"/>
      <c r="Z387" s="381"/>
      <c r="AA387" s="381"/>
      <c r="AB387" s="381"/>
      <c r="AC387" s="381"/>
      <c r="AD387" s="381"/>
      <c r="AE387" s="381"/>
      <c r="AF387" s="381"/>
      <c r="AG387" s="381"/>
      <c r="AH387" s="381"/>
      <c r="AI387" s="381"/>
      <c r="AJ387" s="381"/>
      <c r="AK387" s="381"/>
      <c r="AL387" s="381"/>
      <c r="AM387" s="381"/>
      <c r="AN387" s="381"/>
      <c r="AO387" s="381"/>
    </row>
    <row r="388" spans="1:41" ht="15.75" customHeight="1">
      <c r="A388" s="298" t="s">
        <v>832</v>
      </c>
      <c r="B388" s="327">
        <f>('Pivot Table for Data Exchange'!$R$259)*100</f>
        <v>0</v>
      </c>
      <c r="C388" s="327">
        <f>('Pivot Table for Data Exchange'!$R$262)*100</f>
        <v>0</v>
      </c>
      <c r="D388" s="328">
        <f>SUM(E388:G388)</f>
        <v>0</v>
      </c>
      <c r="E388" s="327">
        <f>('Pivot Table for Data Exchange'!$R$265)*100</f>
        <v>0</v>
      </c>
      <c r="F388" s="327">
        <f>('Pivot Table for Data Exchange'!$R$268)*100</f>
        <v>0</v>
      </c>
      <c r="G388" s="335">
        <f>('Pivot Table for Data Exchange'!$R$271)*100</f>
        <v>0</v>
      </c>
      <c r="H388" s="327">
        <f>('Pivot Table for Data Exchange'!$R$274)*100</f>
        <v>0</v>
      </c>
      <c r="I388" s="298"/>
      <c r="J388" s="366"/>
      <c r="K388" s="366"/>
      <c r="L388" s="366"/>
      <c r="M388" s="366"/>
      <c r="N388" s="366"/>
      <c r="O388" s="366"/>
      <c r="P388" s="366"/>
      <c r="Q388" s="332">
        <f t="shared" si="44"/>
        <v>0</v>
      </c>
      <c r="R388" s="332"/>
      <c r="S388" s="381"/>
      <c r="U388" s="381"/>
      <c r="V388" s="381"/>
      <c r="W388" s="381"/>
      <c r="X388" s="381"/>
      <c r="Y388" s="381"/>
      <c r="Z388" s="381"/>
      <c r="AA388" s="381"/>
      <c r="AB388" s="381"/>
      <c r="AC388" s="381"/>
      <c r="AD388" s="381"/>
      <c r="AE388" s="381"/>
      <c r="AF388" s="381"/>
      <c r="AG388" s="381"/>
      <c r="AH388" s="381"/>
      <c r="AI388" s="381"/>
      <c r="AJ388" s="381"/>
      <c r="AK388" s="381"/>
      <c r="AL388" s="381"/>
      <c r="AM388" s="381"/>
      <c r="AN388" s="381"/>
      <c r="AO388" s="381"/>
    </row>
    <row r="389" spans="1:41" ht="15.75" customHeight="1">
      <c r="B389" s="327"/>
      <c r="C389" s="327"/>
      <c r="D389" s="328"/>
      <c r="E389" s="327"/>
      <c r="F389" s="327"/>
      <c r="G389" s="335"/>
      <c r="H389" s="327"/>
      <c r="I389" s="298"/>
      <c r="J389" s="366"/>
      <c r="K389" s="366"/>
      <c r="L389" s="366"/>
      <c r="M389" s="366"/>
      <c r="N389" s="366"/>
      <c r="O389" s="366"/>
      <c r="P389" s="366"/>
      <c r="Q389" s="332">
        <f t="shared" si="44"/>
        <v>0</v>
      </c>
      <c r="R389" s="332"/>
      <c r="S389" s="381"/>
      <c r="U389" s="381"/>
      <c r="V389" s="381"/>
      <c r="W389" s="381"/>
      <c r="X389" s="381"/>
      <c r="Y389" s="381"/>
      <c r="Z389" s="381"/>
      <c r="AA389" s="381"/>
      <c r="AB389" s="381"/>
      <c r="AC389" s="381"/>
      <c r="AD389" s="381"/>
      <c r="AE389" s="381"/>
      <c r="AF389" s="381"/>
      <c r="AG389" s="381"/>
      <c r="AH389" s="381"/>
      <c r="AI389" s="381"/>
      <c r="AJ389" s="381"/>
      <c r="AK389" s="381"/>
      <c r="AL389" s="381"/>
      <c r="AM389" s="381"/>
      <c r="AN389" s="381"/>
      <c r="AO389" s="381"/>
    </row>
    <row r="390" spans="1:41" ht="15.75" customHeight="1">
      <c r="A390" s="298" t="s">
        <v>833</v>
      </c>
      <c r="B390" s="327">
        <f>('Pivot Table for Data Exchange'!$R$295)*100</f>
        <v>0</v>
      </c>
      <c r="C390" s="327">
        <f>('Pivot Table for Data Exchange'!$R$298)*100</f>
        <v>0</v>
      </c>
      <c r="D390" s="328">
        <f>SUM(E390:G390)</f>
        <v>0</v>
      </c>
      <c r="E390" s="327">
        <f>('Pivot Table for Data Exchange'!$R$301)*100</f>
        <v>0</v>
      </c>
      <c r="F390" s="327">
        <f>('Pivot Table for Data Exchange'!$R$304)*100</f>
        <v>0</v>
      </c>
      <c r="G390" s="335">
        <f>('Pivot Table for Data Exchange'!$R$307)*100</f>
        <v>0</v>
      </c>
      <c r="H390" s="327">
        <f>('Pivot Table for Data Exchange'!$R$310)*100</f>
        <v>0</v>
      </c>
      <c r="I390" s="298"/>
      <c r="J390" s="366"/>
      <c r="K390" s="366"/>
      <c r="L390" s="366"/>
      <c r="M390" s="366"/>
      <c r="N390" s="366"/>
      <c r="O390" s="366"/>
      <c r="P390" s="366"/>
      <c r="Q390" s="332">
        <f t="shared" si="44"/>
        <v>0</v>
      </c>
      <c r="R390" s="332"/>
      <c r="S390" s="381"/>
      <c r="T390" s="381"/>
      <c r="U390" s="381"/>
      <c r="V390" s="381"/>
      <c r="W390" s="381"/>
      <c r="X390" s="381"/>
      <c r="Y390" s="381"/>
      <c r="Z390" s="381"/>
      <c r="AA390" s="381"/>
      <c r="AB390" s="381"/>
      <c r="AC390" s="381"/>
      <c r="AD390" s="381"/>
      <c r="AE390" s="381"/>
      <c r="AF390" s="381"/>
      <c r="AG390" s="381"/>
      <c r="AH390" s="381"/>
      <c r="AI390" s="381"/>
      <c r="AJ390" s="381"/>
      <c r="AK390" s="381"/>
      <c r="AL390" s="381"/>
      <c r="AM390" s="381"/>
      <c r="AN390" s="381"/>
      <c r="AO390" s="381"/>
    </row>
    <row r="391" spans="1:41" ht="15.75" customHeight="1">
      <c r="A391" s="298" t="s">
        <v>834</v>
      </c>
      <c r="B391" s="327">
        <f>('Pivot Table for Data Exchange'!$R$331)*100</f>
        <v>0</v>
      </c>
      <c r="C391" s="327">
        <f>('Pivot Table for Data Exchange'!$R$334)*100</f>
        <v>0</v>
      </c>
      <c r="D391" s="328">
        <f>SUM(E391:G391)</f>
        <v>0</v>
      </c>
      <c r="E391" s="327">
        <f>('Pivot Table for Data Exchange'!$R$337)*100</f>
        <v>0</v>
      </c>
      <c r="F391" s="327">
        <f>('Pivot Table for Data Exchange'!$R$340)*100</f>
        <v>0</v>
      </c>
      <c r="G391" s="335">
        <f>('Pivot Table for Data Exchange'!$R$343)*100</f>
        <v>0</v>
      </c>
      <c r="H391" s="327">
        <f>('Pivot Table for Data Exchange'!$R$346)*100</f>
        <v>0</v>
      </c>
      <c r="I391" s="298"/>
      <c r="J391" s="366"/>
      <c r="K391" s="366"/>
      <c r="L391" s="366"/>
      <c r="M391" s="366"/>
      <c r="N391" s="366"/>
      <c r="O391" s="366"/>
      <c r="P391" s="366"/>
      <c r="Q391" s="332">
        <f t="shared" si="44"/>
        <v>0</v>
      </c>
      <c r="R391" s="332"/>
      <c r="S391" s="381"/>
      <c r="T391" s="381"/>
      <c r="U391" s="381"/>
      <c r="V391" s="381"/>
      <c r="W391" s="381"/>
      <c r="X391" s="381"/>
      <c r="Y391" s="381"/>
      <c r="Z391" s="381"/>
      <c r="AA391" s="381"/>
      <c r="AB391" s="381"/>
      <c r="AC391" s="381"/>
      <c r="AD391" s="381"/>
      <c r="AE391" s="381"/>
      <c r="AF391" s="381"/>
      <c r="AG391" s="381"/>
      <c r="AH391" s="381"/>
      <c r="AI391" s="381"/>
      <c r="AJ391" s="381"/>
      <c r="AK391" s="381"/>
      <c r="AL391" s="381"/>
      <c r="AM391" s="381"/>
      <c r="AN391" s="381"/>
      <c r="AO391" s="381"/>
    </row>
    <row r="392" spans="1:41" ht="15.75" customHeight="1">
      <c r="A392" s="298" t="s">
        <v>835</v>
      </c>
      <c r="B392" s="327">
        <f>('Pivot Table for Data Exchange'!$R$367)*100</f>
        <v>0</v>
      </c>
      <c r="C392" s="327">
        <f>('Pivot Table for Data Exchange'!$R$370)*100</f>
        <v>0</v>
      </c>
      <c r="D392" s="328">
        <f>SUM(E392:G392)</f>
        <v>0</v>
      </c>
      <c r="E392" s="327">
        <f>('Pivot Table for Data Exchange'!$R$373)*100</f>
        <v>0</v>
      </c>
      <c r="F392" s="327">
        <f>('Pivot Table for Data Exchange'!$R$376)*100</f>
        <v>0</v>
      </c>
      <c r="G392" s="335">
        <f>('Pivot Table for Data Exchange'!$R$379)*100</f>
        <v>0</v>
      </c>
      <c r="H392" s="327">
        <f>('Pivot Table for Data Exchange'!$R$382)*100</f>
        <v>0</v>
      </c>
      <c r="I392" s="298"/>
      <c r="J392" s="366"/>
      <c r="K392" s="366"/>
      <c r="L392" s="366"/>
      <c r="M392" s="366"/>
      <c r="N392" s="366"/>
      <c r="O392" s="366"/>
      <c r="P392" s="366"/>
      <c r="Q392" s="332">
        <f t="shared" si="44"/>
        <v>0</v>
      </c>
      <c r="R392" s="332"/>
      <c r="S392" s="381"/>
      <c r="T392" s="385"/>
      <c r="U392" s="381"/>
      <c r="V392" s="381"/>
      <c r="W392" s="381"/>
      <c r="X392" s="381"/>
      <c r="Y392" s="381"/>
      <c r="Z392" s="381"/>
      <c r="AA392" s="381"/>
      <c r="AB392" s="381"/>
      <c r="AC392" s="381"/>
      <c r="AD392" s="381"/>
      <c r="AE392" s="381"/>
      <c r="AF392" s="381"/>
      <c r="AG392" s="381"/>
      <c r="AH392" s="381"/>
      <c r="AI392" s="381"/>
      <c r="AJ392" s="381"/>
      <c r="AK392" s="381"/>
      <c r="AL392" s="381"/>
      <c r="AM392" s="381"/>
      <c r="AN392" s="381"/>
      <c r="AO392" s="381"/>
    </row>
    <row r="393" spans="1:41" ht="15.75" customHeight="1">
      <c r="A393" s="298" t="s">
        <v>836</v>
      </c>
      <c r="B393" s="327">
        <f>('Pivot Table for Data Exchange'!$R$403)*100</f>
        <v>0</v>
      </c>
      <c r="C393" s="327">
        <f>('Pivot Table for Data Exchange'!$R$406)*100</f>
        <v>0</v>
      </c>
      <c r="D393" s="328">
        <f>SUM(E393:G393)</f>
        <v>0</v>
      </c>
      <c r="E393" s="327">
        <f>('Pivot Table for Data Exchange'!$R$409)*100</f>
        <v>0</v>
      </c>
      <c r="F393" s="327">
        <f>('Pivot Table for Data Exchange'!$R$412)*100</f>
        <v>0</v>
      </c>
      <c r="G393" s="335">
        <f>('Pivot Table for Data Exchange'!$R$415)*100</f>
        <v>0</v>
      </c>
      <c r="H393" s="327">
        <f>('Pivot Table for Data Exchange'!$R$418)*100</f>
        <v>0</v>
      </c>
      <c r="I393" s="298"/>
      <c r="J393" s="366"/>
      <c r="K393" s="366"/>
      <c r="L393" s="366"/>
      <c r="M393" s="366"/>
      <c r="N393" s="366"/>
      <c r="O393" s="366"/>
      <c r="P393" s="366"/>
      <c r="Q393" s="332">
        <f t="shared" si="44"/>
        <v>0</v>
      </c>
      <c r="R393" s="332"/>
      <c r="S393" s="381"/>
      <c r="T393" s="381"/>
      <c r="U393" s="381"/>
      <c r="V393" s="381"/>
      <c r="W393" s="381"/>
      <c r="X393" s="381"/>
      <c r="Y393" s="381"/>
      <c r="Z393" s="381"/>
      <c r="AA393" s="381"/>
      <c r="AB393" s="381"/>
      <c r="AC393" s="381"/>
      <c r="AD393" s="381"/>
      <c r="AE393" s="381"/>
      <c r="AF393" s="381"/>
      <c r="AG393" s="381"/>
      <c r="AH393" s="381"/>
      <c r="AI393" s="381"/>
      <c r="AJ393" s="381"/>
      <c r="AK393" s="381"/>
      <c r="AL393" s="381"/>
      <c r="AM393" s="381"/>
      <c r="AN393" s="381"/>
      <c r="AO393" s="381"/>
    </row>
    <row r="394" spans="1:41" ht="15.75" customHeight="1">
      <c r="B394" s="327"/>
      <c r="C394" s="327"/>
      <c r="D394" s="328"/>
      <c r="E394" s="327"/>
      <c r="F394" s="327"/>
      <c r="G394" s="335"/>
      <c r="H394" s="327"/>
      <c r="I394" s="298"/>
      <c r="J394" s="366"/>
      <c r="K394" s="366"/>
      <c r="L394" s="366"/>
      <c r="M394" s="366"/>
      <c r="N394" s="366"/>
      <c r="O394" s="366"/>
      <c r="P394" s="366"/>
      <c r="Q394" s="332">
        <f t="shared" si="44"/>
        <v>0</v>
      </c>
      <c r="R394" s="332"/>
      <c r="S394" s="381"/>
      <c r="T394" s="381"/>
      <c r="U394" s="381"/>
      <c r="V394" s="381"/>
      <c r="W394" s="381"/>
      <c r="X394" s="381"/>
      <c r="Y394" s="381"/>
      <c r="Z394" s="381"/>
      <c r="AA394" s="381"/>
      <c r="AB394" s="381"/>
      <c r="AC394" s="381"/>
      <c r="AD394" s="381"/>
      <c r="AE394" s="381"/>
      <c r="AF394" s="381"/>
      <c r="AG394" s="381"/>
      <c r="AH394" s="381"/>
      <c r="AI394" s="381"/>
      <c r="AJ394" s="381"/>
      <c r="AK394" s="381"/>
      <c r="AL394" s="381"/>
      <c r="AM394" s="381"/>
      <c r="AN394" s="381"/>
      <c r="AO394" s="381"/>
    </row>
    <row r="395" spans="1:41" ht="15.75" customHeight="1">
      <c r="A395" s="298" t="s">
        <v>837</v>
      </c>
      <c r="B395" s="327">
        <f>('Pivot Table for Data Exchange'!$R$439)*100</f>
        <v>0</v>
      </c>
      <c r="C395" s="327">
        <f>('Pivot Table for Data Exchange'!$R$442)*100</f>
        <v>0</v>
      </c>
      <c r="D395" s="328">
        <f>SUM(E395:G395)</f>
        <v>0</v>
      </c>
      <c r="E395" s="327">
        <f>('Pivot Table for Data Exchange'!$R$445)*100</f>
        <v>0</v>
      </c>
      <c r="F395" s="327">
        <f>('Pivot Table for Data Exchange'!$R$448)*100</f>
        <v>0</v>
      </c>
      <c r="G395" s="335">
        <f>('Pivot Table for Data Exchange'!$R$451)*100</f>
        <v>0</v>
      </c>
      <c r="H395" s="327">
        <f>('Pivot Table for Data Exchange'!$R$454)*100</f>
        <v>0</v>
      </c>
      <c r="I395" s="298"/>
      <c r="J395" s="366"/>
      <c r="K395" s="366"/>
      <c r="L395" s="366"/>
      <c r="M395" s="366"/>
      <c r="N395" s="366"/>
      <c r="O395" s="366"/>
      <c r="P395" s="366"/>
      <c r="Q395" s="332">
        <f t="shared" si="44"/>
        <v>0</v>
      </c>
      <c r="R395" s="332"/>
      <c r="S395" s="381"/>
      <c r="T395" s="381"/>
      <c r="U395" s="381"/>
      <c r="V395" s="381"/>
      <c r="W395" s="381"/>
      <c r="X395" s="381"/>
      <c r="Y395" s="381"/>
      <c r="Z395" s="381"/>
      <c r="AA395" s="381"/>
      <c r="AB395" s="381"/>
      <c r="AC395" s="381"/>
      <c r="AD395" s="381"/>
      <c r="AE395" s="381"/>
      <c r="AF395" s="381"/>
      <c r="AG395" s="381"/>
      <c r="AH395" s="381"/>
      <c r="AI395" s="381"/>
      <c r="AJ395" s="381"/>
      <c r="AK395" s="381"/>
      <c r="AL395" s="381"/>
      <c r="AM395" s="381"/>
      <c r="AN395" s="381"/>
      <c r="AO395" s="381"/>
    </row>
    <row r="396" spans="1:41" ht="15.75" customHeight="1">
      <c r="A396" s="298" t="s">
        <v>838</v>
      </c>
      <c r="B396" s="327">
        <f>('Pivot Table for Data Exchange'!$R$475)*100</f>
        <v>0</v>
      </c>
      <c r="C396" s="327">
        <f>('Pivot Table for Data Exchange'!$R$478)*100</f>
        <v>0</v>
      </c>
      <c r="D396" s="328">
        <f>SUM(E396:G396)</f>
        <v>0</v>
      </c>
      <c r="E396" s="327">
        <f>('Pivot Table for Data Exchange'!$R$481)*100</f>
        <v>0</v>
      </c>
      <c r="F396" s="327">
        <f>('Pivot Table for Data Exchange'!$R$484)*100</f>
        <v>0</v>
      </c>
      <c r="G396" s="335">
        <f>('Pivot Table for Data Exchange'!$R$487)*100</f>
        <v>0</v>
      </c>
      <c r="H396" s="327">
        <f>('Pivot Table for Data Exchange'!$R$490)*100</f>
        <v>0</v>
      </c>
      <c r="I396" s="298"/>
      <c r="J396" s="366"/>
      <c r="K396" s="366"/>
      <c r="L396" s="366"/>
      <c r="M396" s="366"/>
      <c r="N396" s="366"/>
      <c r="O396" s="366"/>
      <c r="P396" s="366"/>
      <c r="Q396" s="332">
        <f t="shared" si="44"/>
        <v>0</v>
      </c>
      <c r="R396" s="332"/>
      <c r="S396" s="381"/>
      <c r="T396" s="381"/>
      <c r="U396" s="381"/>
      <c r="V396" s="381"/>
      <c r="W396" s="381"/>
      <c r="X396" s="381"/>
      <c r="Y396" s="381"/>
      <c r="Z396" s="381"/>
      <c r="AA396" s="381"/>
      <c r="AB396" s="381"/>
      <c r="AC396" s="381"/>
      <c r="AD396" s="381"/>
      <c r="AE396" s="381"/>
      <c r="AF396" s="381"/>
      <c r="AG396" s="381"/>
      <c r="AH396" s="381"/>
      <c r="AI396" s="381"/>
      <c r="AJ396" s="381"/>
      <c r="AK396" s="381"/>
      <c r="AL396" s="381"/>
      <c r="AM396" s="381"/>
      <c r="AN396" s="381"/>
      <c r="AO396" s="381"/>
    </row>
    <row r="397" spans="1:41" ht="15.75" customHeight="1">
      <c r="A397" s="298" t="s">
        <v>839</v>
      </c>
      <c r="B397" s="327">
        <f>('Pivot Table for Data Exchange'!$R$511)*100</f>
        <v>0</v>
      </c>
      <c r="C397" s="327">
        <f>('Pivot Table for Data Exchange'!$R$514)*100</f>
        <v>0</v>
      </c>
      <c r="D397" s="328">
        <f>SUM(E397:G397)</f>
        <v>0</v>
      </c>
      <c r="E397" s="327">
        <f>('Pivot Table for Data Exchange'!$R$517)*100</f>
        <v>0</v>
      </c>
      <c r="F397" s="327">
        <f>('Pivot Table for Data Exchange'!$R$520)*100</f>
        <v>0</v>
      </c>
      <c r="G397" s="335">
        <f>('Pivot Table for Data Exchange'!$R$523)*100</f>
        <v>0</v>
      </c>
      <c r="H397" s="327">
        <f>('Pivot Table for Data Exchange'!$R$526)*100</f>
        <v>0</v>
      </c>
      <c r="I397" s="298"/>
      <c r="J397" s="366"/>
      <c r="K397" s="366"/>
      <c r="L397" s="366"/>
      <c r="M397" s="366"/>
      <c r="N397" s="366"/>
      <c r="O397" s="366"/>
      <c r="P397" s="366"/>
      <c r="Q397" s="332">
        <f t="shared" si="44"/>
        <v>0</v>
      </c>
      <c r="R397" s="332"/>
      <c r="S397" s="381"/>
      <c r="T397" s="381"/>
      <c r="U397" s="381"/>
      <c r="V397" s="381"/>
      <c r="W397" s="381"/>
      <c r="X397" s="381"/>
      <c r="Y397" s="381"/>
      <c r="Z397" s="381"/>
      <c r="AA397" s="381"/>
      <c r="AB397" s="381"/>
      <c r="AC397" s="381"/>
      <c r="AD397" s="381"/>
      <c r="AE397" s="381"/>
      <c r="AF397" s="381"/>
      <c r="AG397" s="381"/>
      <c r="AH397" s="381"/>
      <c r="AI397" s="381"/>
      <c r="AJ397" s="381"/>
      <c r="AK397" s="381"/>
      <c r="AL397" s="381"/>
      <c r="AM397" s="381"/>
      <c r="AN397" s="381"/>
      <c r="AO397" s="381"/>
    </row>
    <row r="398" spans="1:41" ht="15.75" customHeight="1">
      <c r="A398" s="304" t="s">
        <v>840</v>
      </c>
      <c r="B398" s="340">
        <f>('Pivot Table for Data Exchange'!$R$547)*100</f>
        <v>0</v>
      </c>
      <c r="C398" s="340">
        <f>('Pivot Table for Data Exchange'!$R$550)*100</f>
        <v>0</v>
      </c>
      <c r="D398" s="341">
        <f>SUM(E398:G398)</f>
        <v>0</v>
      </c>
      <c r="E398" s="340">
        <f>('Pivot Table for Data Exchange'!$R$553)*100</f>
        <v>0</v>
      </c>
      <c r="F398" s="340">
        <f>('Pivot Table for Data Exchange'!$R$556)*100</f>
        <v>0</v>
      </c>
      <c r="G398" s="342">
        <f>('Pivot Table for Data Exchange'!$R$559)*100</f>
        <v>0</v>
      </c>
      <c r="H398" s="340">
        <f>('Pivot Table for Data Exchange'!$R$562)*100</f>
        <v>0</v>
      </c>
      <c r="I398" s="298"/>
      <c r="J398" s="366"/>
      <c r="K398" s="366"/>
      <c r="L398" s="366"/>
      <c r="M398" s="366"/>
      <c r="N398" s="366"/>
      <c r="O398" s="366"/>
      <c r="P398" s="366"/>
      <c r="Q398" s="332">
        <f t="shared" si="44"/>
        <v>0</v>
      </c>
      <c r="R398" s="332"/>
      <c r="S398" s="381"/>
      <c r="T398" s="381"/>
      <c r="U398" s="381"/>
      <c r="V398" s="381"/>
      <c r="W398" s="381"/>
      <c r="X398" s="381"/>
      <c r="Y398" s="381"/>
      <c r="Z398" s="381"/>
      <c r="AA398" s="381"/>
      <c r="AB398" s="381"/>
      <c r="AC398" s="381"/>
      <c r="AD398" s="381"/>
      <c r="AE398" s="381"/>
      <c r="AF398" s="381"/>
      <c r="AG398" s="381"/>
      <c r="AH398" s="381"/>
      <c r="AI398" s="381"/>
      <c r="AJ398" s="381"/>
      <c r="AK398" s="381"/>
      <c r="AL398" s="381"/>
      <c r="AM398" s="381"/>
      <c r="AN398" s="381"/>
      <c r="AO398" s="381"/>
    </row>
    <row r="399" spans="1:41" s="371" customFormat="1" ht="14.25" customHeight="1">
      <c r="A399" s="346" t="s">
        <v>866</v>
      </c>
      <c r="B399" s="347"/>
      <c r="C399" s="347"/>
      <c r="D399" s="348"/>
      <c r="E399" s="347"/>
      <c r="F399" s="348"/>
      <c r="G399" s="348"/>
      <c r="H399" s="347"/>
      <c r="I399" s="356"/>
      <c r="J399" s="347"/>
      <c r="K399" s="347"/>
      <c r="L399" s="348"/>
      <c r="M399" s="347"/>
      <c r="N399" s="348"/>
      <c r="O399" s="348"/>
      <c r="P399" s="347"/>
      <c r="Q399" s="332">
        <f t="shared" si="44"/>
        <v>0</v>
      </c>
      <c r="R399" s="367"/>
      <c r="S399" s="384"/>
      <c r="T399" s="384"/>
      <c r="U399" s="384"/>
      <c r="V399" s="384"/>
      <c r="W399" s="384"/>
      <c r="X399" s="384"/>
      <c r="Y399" s="384"/>
      <c r="Z399" s="384"/>
      <c r="AA399" s="384"/>
      <c r="AB399" s="384"/>
      <c r="AC399" s="384"/>
      <c r="AD399" s="384"/>
      <c r="AE399" s="384"/>
      <c r="AF399" s="384"/>
      <c r="AG399" s="384"/>
      <c r="AH399" s="384"/>
      <c r="AI399" s="384"/>
      <c r="AJ399" s="384"/>
      <c r="AK399" s="384"/>
      <c r="AL399" s="384"/>
      <c r="AM399" s="384"/>
      <c r="AN399" s="384"/>
      <c r="AO399" s="384"/>
    </row>
    <row r="400" spans="1:41" s="371" customFormat="1" ht="18" customHeight="1">
      <c r="A400" s="356"/>
      <c r="B400" s="347"/>
      <c r="C400" s="347"/>
      <c r="D400" s="348"/>
      <c r="E400" s="347"/>
      <c r="F400" s="348"/>
      <c r="G400" s="348"/>
      <c r="H400" s="347"/>
      <c r="I400" s="356"/>
      <c r="J400" s="347"/>
      <c r="K400" s="347"/>
      <c r="L400" s="348"/>
      <c r="M400" s="347"/>
      <c r="N400" s="348"/>
      <c r="O400" s="348"/>
      <c r="P400" s="347"/>
      <c r="Q400" s="332">
        <f t="shared" si="44"/>
        <v>0</v>
      </c>
      <c r="R400" s="367"/>
      <c r="S400" s="384"/>
      <c r="T400" s="384"/>
      <c r="U400" s="384"/>
      <c r="V400" s="384"/>
      <c r="W400" s="384"/>
      <c r="X400" s="384"/>
      <c r="Y400" s="384"/>
      <c r="Z400" s="384"/>
      <c r="AA400" s="384"/>
      <c r="AB400" s="384"/>
      <c r="AC400" s="384"/>
      <c r="AD400" s="384"/>
      <c r="AE400" s="384"/>
      <c r="AF400" s="384"/>
      <c r="AG400" s="384"/>
      <c r="AH400" s="384"/>
      <c r="AI400" s="384"/>
      <c r="AJ400" s="384"/>
      <c r="AK400" s="384"/>
      <c r="AL400" s="384"/>
      <c r="AM400" s="384"/>
      <c r="AN400" s="384"/>
      <c r="AO400" s="384"/>
    </row>
    <row r="401" spans="1:41" ht="15.75" customHeight="1">
      <c r="B401" s="369"/>
      <c r="C401" s="369"/>
      <c r="D401" s="369"/>
      <c r="E401" s="369"/>
      <c r="F401" s="369"/>
      <c r="G401" s="369"/>
      <c r="H401" s="351" t="s">
        <v>980</v>
      </c>
      <c r="I401" s="298"/>
      <c r="J401" s="366"/>
      <c r="K401" s="366"/>
      <c r="L401" s="366"/>
      <c r="M401" s="366"/>
      <c r="N401" s="366"/>
      <c r="O401" s="366"/>
      <c r="P401" s="366"/>
      <c r="Q401" s="332">
        <f t="shared" si="44"/>
        <v>0</v>
      </c>
      <c r="R401" s="332"/>
      <c r="S401" s="381"/>
      <c r="T401" s="381"/>
      <c r="U401" s="381"/>
      <c r="V401" s="381"/>
      <c r="W401" s="381"/>
      <c r="X401" s="381"/>
      <c r="Y401" s="381"/>
      <c r="Z401" s="381"/>
      <c r="AA401" s="381"/>
      <c r="AB401" s="381"/>
      <c r="AC401" s="381"/>
      <c r="AD401" s="381"/>
      <c r="AE401" s="381"/>
      <c r="AF401" s="381"/>
      <c r="AG401" s="381"/>
      <c r="AH401" s="381"/>
      <c r="AI401" s="381"/>
      <c r="AJ401" s="381"/>
      <c r="AK401" s="381"/>
      <c r="AL401" s="381"/>
      <c r="AM401" s="381"/>
      <c r="AN401" s="381"/>
      <c r="AO401" s="381"/>
    </row>
    <row r="402" spans="1:41" ht="18">
      <c r="A402" s="293" t="s">
        <v>888</v>
      </c>
      <c r="B402" s="294"/>
      <c r="C402" s="294"/>
      <c r="D402" s="294"/>
      <c r="E402" s="294"/>
      <c r="F402" s="294"/>
      <c r="G402" s="294"/>
      <c r="H402" s="294"/>
      <c r="Q402" s="332">
        <f t="shared" si="44"/>
        <v>0</v>
      </c>
    </row>
    <row r="403" spans="1:41">
      <c r="A403" s="299"/>
      <c r="B403" s="295"/>
      <c r="C403" s="295"/>
      <c r="D403" s="295"/>
      <c r="E403" s="295"/>
      <c r="F403" s="295"/>
      <c r="G403" s="295"/>
      <c r="H403" s="295"/>
      <c r="Q403" s="332">
        <f t="shared" si="44"/>
        <v>0</v>
      </c>
    </row>
    <row r="404" spans="1:41" ht="15.75">
      <c r="A404" s="301" t="s">
        <v>846</v>
      </c>
      <c r="B404" s="295"/>
      <c r="C404" s="295"/>
      <c r="D404" s="295"/>
      <c r="E404" s="295"/>
      <c r="F404" s="295"/>
      <c r="G404" s="295"/>
      <c r="H404" s="295"/>
      <c r="Q404" s="332">
        <f t="shared" si="44"/>
        <v>0</v>
      </c>
    </row>
    <row r="405" spans="1:41" ht="15.75">
      <c r="A405" s="301" t="s">
        <v>994</v>
      </c>
      <c r="B405" s="295"/>
      <c r="C405" s="295"/>
      <c r="D405" s="295"/>
      <c r="E405" s="295"/>
      <c r="F405" s="295"/>
      <c r="G405" s="295"/>
      <c r="H405" s="295"/>
      <c r="Q405" s="332">
        <f t="shared" si="44"/>
        <v>0</v>
      </c>
    </row>
    <row r="406" spans="1:41">
      <c r="A406" s="304"/>
      <c r="B406" s="305"/>
      <c r="C406" s="305"/>
      <c r="D406" s="305"/>
      <c r="E406" s="305"/>
      <c r="F406" s="305"/>
      <c r="G406" s="305"/>
      <c r="H406" s="305"/>
      <c r="Q406" s="332">
        <f t="shared" si="44"/>
        <v>0</v>
      </c>
    </row>
    <row r="407" spans="1:41">
      <c r="A407" s="309"/>
      <c r="B407" s="310" t="s">
        <v>848</v>
      </c>
      <c r="C407" s="310"/>
      <c r="D407" s="310"/>
      <c r="E407" s="310"/>
      <c r="F407" s="310"/>
      <c r="G407" s="310"/>
      <c r="H407" s="311"/>
      <c r="Q407" s="332">
        <f t="shared" si="44"/>
        <v>0</v>
      </c>
    </row>
    <row r="408" spans="1:41">
      <c r="A408" s="309"/>
      <c r="B408" s="310" t="s">
        <v>849</v>
      </c>
      <c r="C408" s="310"/>
      <c r="D408" s="450" t="s">
        <v>850</v>
      </c>
      <c r="E408" s="448"/>
      <c r="F408" s="448"/>
      <c r="G408" s="448"/>
      <c r="H408" s="317" t="s">
        <v>740</v>
      </c>
      <c r="Q408" s="332">
        <f t="shared" si="44"/>
        <v>0</v>
      </c>
    </row>
    <row r="409" spans="1:41" ht="36">
      <c r="A409" s="309"/>
      <c r="B409" s="318" t="s">
        <v>851</v>
      </c>
      <c r="C409" s="319" t="s">
        <v>852</v>
      </c>
      <c r="D409" s="320" t="s">
        <v>853</v>
      </c>
      <c r="E409" s="321" t="s">
        <v>8</v>
      </c>
      <c r="F409" s="318" t="s">
        <v>854</v>
      </c>
      <c r="G409" s="322" t="s">
        <v>864</v>
      </c>
      <c r="H409" s="323" t="s">
        <v>856</v>
      </c>
      <c r="Q409" s="332">
        <f t="shared" si="44"/>
        <v>0</v>
      </c>
    </row>
    <row r="410" spans="1:41" ht="15.75" customHeight="1">
      <c r="A410" s="353" t="s">
        <v>825</v>
      </c>
      <c r="B410" s="380">
        <f>('Pivot Table for Data Exchange'!$P$7)*100</f>
        <v>87.051560153512426</v>
      </c>
      <c r="C410" s="327">
        <f>('Pivot Table for Data Exchange'!$P$10)*100</f>
        <v>4.3264761269099665</v>
      </c>
      <c r="D410" s="328">
        <f>SUM(E410:G410)</f>
        <v>8.621963719577602</v>
      </c>
      <c r="E410" s="327">
        <f>('Pivot Table for Data Exchange'!$P$13)*100</f>
        <v>8.621963719577602</v>
      </c>
      <c r="F410" s="327">
        <f>('Pivot Table for Data Exchange'!$P$16)*100</f>
        <v>0</v>
      </c>
      <c r="G410" s="331">
        <f>('Pivot Table for Data Exchange'!$P$19)*100</f>
        <v>0</v>
      </c>
      <c r="H410" s="327">
        <f>('Pivot Table for Data Exchange'!$P$22)*100</f>
        <v>0</v>
      </c>
      <c r="I410" s="298"/>
      <c r="J410" s="366"/>
      <c r="K410" s="366"/>
      <c r="L410" s="366"/>
      <c r="M410" s="366"/>
      <c r="N410" s="366"/>
      <c r="O410" s="366"/>
      <c r="P410" s="366"/>
      <c r="Q410" s="332">
        <f t="shared" si="44"/>
        <v>100</v>
      </c>
      <c r="R410" s="332"/>
      <c r="S410" s="381"/>
      <c r="T410" s="381"/>
      <c r="U410" s="381"/>
      <c r="V410" s="381"/>
      <c r="W410" s="381"/>
      <c r="X410" s="381"/>
      <c r="Y410" s="381"/>
      <c r="Z410" s="381"/>
      <c r="AA410" s="381"/>
      <c r="AB410" s="381"/>
      <c r="AC410" s="381"/>
      <c r="AD410" s="381"/>
      <c r="AE410" s="381"/>
      <c r="AF410" s="381"/>
      <c r="AG410" s="381"/>
      <c r="AH410" s="381"/>
      <c r="AI410" s="381"/>
      <c r="AJ410" s="381"/>
      <c r="AK410" s="381"/>
      <c r="AL410" s="381"/>
      <c r="AM410" s="381"/>
      <c r="AN410" s="381"/>
      <c r="AO410" s="381"/>
    </row>
    <row r="411" spans="1:41" ht="15.75" customHeight="1">
      <c r="A411" s="298" t="s">
        <v>826</v>
      </c>
      <c r="B411" s="327">
        <f>('Pivot Table for Data Exchange'!$P$43)*100</f>
        <v>0</v>
      </c>
      <c r="C411" s="327">
        <f>('Pivot Table for Data Exchange'!$P$46)*100</f>
        <v>0</v>
      </c>
      <c r="D411" s="328">
        <f t="shared" ref="D411:D413" si="49">SUM(E411:G411)</f>
        <v>0</v>
      </c>
      <c r="E411" s="327">
        <f>('Pivot Table for Data Exchange'!$P$49)*100</f>
        <v>0</v>
      </c>
      <c r="F411" s="327">
        <f>('Pivot Table for Data Exchange'!$P$52)*100</f>
        <v>0</v>
      </c>
      <c r="G411" s="335">
        <f>('Pivot Table for Data Exchange'!$P$55)*100</f>
        <v>0</v>
      </c>
      <c r="H411" s="327">
        <f>('Pivot Table for Data Exchange'!$P$58)*100</f>
        <v>0</v>
      </c>
      <c r="I411" s="298"/>
      <c r="J411" s="366"/>
      <c r="K411" s="366"/>
      <c r="L411" s="366"/>
      <c r="M411" s="366"/>
      <c r="N411" s="366"/>
      <c r="O411" s="366"/>
      <c r="P411" s="366"/>
      <c r="Q411" s="332">
        <f t="shared" ref="Q411:Q458" si="50">SUM(B411,C411,D411,H411)</f>
        <v>0</v>
      </c>
      <c r="R411" s="332"/>
      <c r="S411" s="381"/>
      <c r="T411" s="381"/>
      <c r="U411" s="381"/>
      <c r="V411" s="381"/>
      <c r="W411" s="381"/>
      <c r="X411" s="381"/>
      <c r="Y411" s="381"/>
      <c r="Z411" s="381"/>
      <c r="AA411" s="381"/>
      <c r="AB411" s="381"/>
      <c r="AC411" s="381"/>
      <c r="AD411" s="381"/>
      <c r="AE411" s="381"/>
      <c r="AF411" s="381"/>
      <c r="AG411" s="381"/>
      <c r="AH411" s="381"/>
      <c r="AI411" s="381"/>
      <c r="AJ411" s="381"/>
      <c r="AK411" s="381"/>
      <c r="AL411" s="381"/>
      <c r="AM411" s="381"/>
      <c r="AN411" s="381"/>
      <c r="AO411" s="381"/>
    </row>
    <row r="412" spans="1:41" ht="15.75" customHeight="1">
      <c r="A412" s="298" t="s">
        <v>827</v>
      </c>
      <c r="B412" s="327">
        <f>('Pivot Table for Data Exchange'!$P$79)*100</f>
        <v>0</v>
      </c>
      <c r="C412" s="327">
        <f>('Pivot Table for Data Exchange'!$P$82)*100</f>
        <v>0</v>
      </c>
      <c r="D412" s="328">
        <f t="shared" si="49"/>
        <v>0</v>
      </c>
      <c r="E412" s="327">
        <f>('Pivot Table for Data Exchange'!$P$85)*100</f>
        <v>0</v>
      </c>
      <c r="F412" s="327">
        <f>('Pivot Table for Data Exchange'!$P$88)*100</f>
        <v>0</v>
      </c>
      <c r="G412" s="335">
        <f>('Pivot Table for Data Exchange'!$P$91)*100</f>
        <v>0</v>
      </c>
      <c r="H412" s="327">
        <f>('Pivot Table for Data Exchange'!$P$94)*100</f>
        <v>0</v>
      </c>
      <c r="I412" s="298"/>
      <c r="J412" s="366"/>
      <c r="K412" s="366"/>
      <c r="L412" s="366"/>
      <c r="M412" s="366"/>
      <c r="N412" s="366"/>
      <c r="O412" s="366"/>
      <c r="P412" s="366"/>
      <c r="Q412" s="332">
        <f t="shared" si="50"/>
        <v>0</v>
      </c>
      <c r="R412" s="332"/>
      <c r="S412" s="381"/>
      <c r="T412" s="385"/>
      <c r="U412" s="381"/>
      <c r="V412" s="381"/>
      <c r="W412" s="381"/>
      <c r="X412" s="381"/>
      <c r="Y412" s="381"/>
      <c r="Z412" s="381"/>
      <c r="AA412" s="381"/>
      <c r="AB412" s="381"/>
      <c r="AC412" s="381"/>
      <c r="AD412" s="381"/>
      <c r="AE412" s="381"/>
      <c r="AF412" s="381"/>
      <c r="AG412" s="381"/>
      <c r="AH412" s="381"/>
      <c r="AI412" s="381"/>
      <c r="AJ412" s="381"/>
      <c r="AK412" s="381"/>
      <c r="AL412" s="381"/>
      <c r="AM412" s="381"/>
      <c r="AN412" s="381"/>
      <c r="AO412" s="381"/>
    </row>
    <row r="413" spans="1:41" ht="15.75" customHeight="1">
      <c r="A413" s="298" t="s">
        <v>828</v>
      </c>
      <c r="B413" s="327">
        <f>('Pivot Table for Data Exchange'!$P$115)*100</f>
        <v>0</v>
      </c>
      <c r="C413" s="327">
        <f>('Pivot Table for Data Exchange'!$P$118)*100</f>
        <v>0</v>
      </c>
      <c r="D413" s="328">
        <f t="shared" si="49"/>
        <v>0</v>
      </c>
      <c r="E413" s="327">
        <f>('Pivot Table for Data Exchange'!$P$121)*100</f>
        <v>0</v>
      </c>
      <c r="F413" s="327">
        <f>('Pivot Table for Data Exchange'!$P$124)*100</f>
        <v>0</v>
      </c>
      <c r="G413" s="335">
        <f>('Pivot Table for Data Exchange'!$P$127)*100</f>
        <v>0</v>
      </c>
      <c r="H413" s="327">
        <f>('Pivot Table for Data Exchange'!$P$130)*100</f>
        <v>0</v>
      </c>
      <c r="I413" s="298"/>
      <c r="J413" s="366"/>
      <c r="K413" s="366"/>
      <c r="L413" s="366"/>
      <c r="M413" s="366"/>
      <c r="N413" s="366"/>
      <c r="O413" s="366"/>
      <c r="P413" s="366"/>
      <c r="Q413" s="332">
        <f t="shared" si="50"/>
        <v>0</v>
      </c>
      <c r="R413" s="332"/>
      <c r="S413" s="381"/>
      <c r="U413" s="381"/>
      <c r="V413" s="381"/>
      <c r="W413" s="381"/>
      <c r="X413" s="381"/>
      <c r="Y413" s="381"/>
      <c r="Z413" s="381"/>
      <c r="AA413" s="381"/>
      <c r="AB413" s="381"/>
      <c r="AC413" s="381"/>
      <c r="AD413" s="381"/>
      <c r="AE413" s="381"/>
      <c r="AF413" s="381"/>
      <c r="AG413" s="381"/>
      <c r="AH413" s="381"/>
      <c r="AI413" s="381"/>
      <c r="AJ413" s="381"/>
      <c r="AK413" s="381"/>
      <c r="AL413" s="381"/>
      <c r="AM413" s="381"/>
      <c r="AN413" s="381"/>
      <c r="AO413" s="381"/>
    </row>
    <row r="414" spans="1:41" ht="15.75" customHeight="1">
      <c r="B414" s="327"/>
      <c r="C414" s="327"/>
      <c r="D414" s="328"/>
      <c r="E414" s="327"/>
      <c r="F414" s="327"/>
      <c r="G414" s="335"/>
      <c r="H414" s="327"/>
      <c r="I414" s="298"/>
      <c r="J414" s="366"/>
      <c r="K414" s="366"/>
      <c r="L414" s="366"/>
      <c r="M414" s="366"/>
      <c r="N414" s="366"/>
      <c r="O414" s="366"/>
      <c r="P414" s="366"/>
      <c r="Q414" s="332">
        <f t="shared" si="50"/>
        <v>0</v>
      </c>
      <c r="R414" s="332"/>
      <c r="S414" s="381"/>
      <c r="U414" s="381"/>
      <c r="V414" s="381"/>
      <c r="W414" s="381"/>
      <c r="X414" s="381"/>
      <c r="Y414" s="381"/>
      <c r="Z414" s="381"/>
      <c r="AA414" s="381"/>
      <c r="AB414" s="381"/>
      <c r="AC414" s="381"/>
      <c r="AD414" s="381"/>
      <c r="AE414" s="381"/>
      <c r="AF414" s="381"/>
      <c r="AG414" s="381"/>
      <c r="AH414" s="381"/>
      <c r="AI414" s="381"/>
      <c r="AJ414" s="381"/>
      <c r="AK414" s="381"/>
      <c r="AL414" s="381"/>
      <c r="AM414" s="381"/>
      <c r="AN414" s="381"/>
      <c r="AO414" s="381"/>
    </row>
    <row r="415" spans="1:41" ht="15.75" customHeight="1">
      <c r="A415" s="298" t="s">
        <v>829</v>
      </c>
      <c r="B415" s="327">
        <f>('Pivot Table for Data Exchange'!$P$151)*100</f>
        <v>63.456766317035587</v>
      </c>
      <c r="C415" s="327">
        <f>('Pivot Table for Data Exchange'!$P$154)*100</f>
        <v>0</v>
      </c>
      <c r="D415" s="328">
        <f t="shared" ref="D415:D416" si="51">SUM(E415:G415)</f>
        <v>36.54323368296442</v>
      </c>
      <c r="E415" s="327">
        <f>('Pivot Table for Data Exchange'!$P$157)*100</f>
        <v>35.971390503270385</v>
      </c>
      <c r="F415" s="327">
        <f>('Pivot Table for Data Exchange'!$P$160)*100</f>
        <v>0.5718431796940332</v>
      </c>
      <c r="G415" s="335">
        <f>('Pivot Table for Data Exchange'!$P$163)*100</f>
        <v>0</v>
      </c>
      <c r="H415" s="327">
        <f>('Pivot Table for Data Exchange'!$P$166)*100</f>
        <v>0</v>
      </c>
      <c r="I415" s="298"/>
      <c r="J415" s="366"/>
      <c r="K415" s="366"/>
      <c r="L415" s="366"/>
      <c r="M415" s="366"/>
      <c r="N415" s="366"/>
      <c r="O415" s="366"/>
      <c r="P415" s="366"/>
      <c r="Q415" s="332">
        <f t="shared" si="50"/>
        <v>100</v>
      </c>
      <c r="R415" s="332"/>
      <c r="S415" s="381"/>
      <c r="T415" s="381"/>
      <c r="U415" s="381"/>
      <c r="V415" s="381"/>
      <c r="W415" s="381"/>
      <c r="X415" s="381"/>
      <c r="Y415" s="381"/>
      <c r="Z415" s="381"/>
      <c r="AA415" s="381"/>
      <c r="AB415" s="381"/>
      <c r="AC415" s="381"/>
      <c r="AD415" s="381"/>
      <c r="AE415" s="381"/>
      <c r="AF415" s="381"/>
      <c r="AG415" s="381"/>
      <c r="AH415" s="381"/>
      <c r="AI415" s="381"/>
      <c r="AJ415" s="381"/>
      <c r="AK415" s="381"/>
      <c r="AL415" s="381"/>
      <c r="AM415" s="381"/>
      <c r="AN415" s="381"/>
      <c r="AO415" s="381"/>
    </row>
    <row r="416" spans="1:41" ht="15.75" customHeight="1">
      <c r="A416" s="298" t="s">
        <v>830</v>
      </c>
      <c r="B416" s="327">
        <f>('Pivot Table for Data Exchange'!$P$187)*100</f>
        <v>63.362474243303254</v>
      </c>
      <c r="C416" s="327">
        <f>('Pivot Table for Data Exchange'!$P$190)*100</f>
        <v>5.219357032828535</v>
      </c>
      <c r="D416" s="328">
        <f t="shared" si="51"/>
        <v>31.418168723868206</v>
      </c>
      <c r="E416" s="327">
        <f>('Pivot Table for Data Exchange'!$P$193)*100</f>
        <v>31.418168723868206</v>
      </c>
      <c r="F416" s="327">
        <f>('Pivot Table for Data Exchange'!$P$196)*100</f>
        <v>0</v>
      </c>
      <c r="G416" s="335">
        <f>('Pivot Table for Data Exchange'!$P$199)*100</f>
        <v>0</v>
      </c>
      <c r="H416" s="327">
        <f>('Pivot Table for Data Exchange'!$P$202)*100</f>
        <v>0</v>
      </c>
      <c r="I416" s="298"/>
      <c r="J416" s="366"/>
      <c r="K416" s="366"/>
      <c r="L416" s="366"/>
      <c r="M416" s="366"/>
      <c r="N416" s="366"/>
      <c r="O416" s="366"/>
      <c r="P416" s="366"/>
      <c r="Q416" s="332">
        <f t="shared" si="50"/>
        <v>100</v>
      </c>
      <c r="R416" s="332"/>
      <c r="S416" s="381"/>
      <c r="T416" s="381"/>
      <c r="U416" s="381"/>
      <c r="V416" s="381"/>
      <c r="W416" s="381"/>
      <c r="X416" s="381"/>
      <c r="Y416" s="381"/>
      <c r="Z416" s="381"/>
      <c r="AA416" s="381"/>
      <c r="AB416" s="381"/>
      <c r="AC416" s="381"/>
      <c r="AD416" s="381"/>
      <c r="AE416" s="381"/>
      <c r="AF416" s="381"/>
      <c r="AG416" s="381"/>
      <c r="AH416" s="381"/>
      <c r="AI416" s="381"/>
      <c r="AJ416" s="381"/>
      <c r="AK416" s="381"/>
      <c r="AL416" s="381"/>
      <c r="AM416" s="381"/>
      <c r="AN416" s="381"/>
      <c r="AO416" s="381"/>
    </row>
    <row r="417" spans="1:41" ht="15.75" customHeight="1">
      <c r="A417" s="298" t="s">
        <v>831</v>
      </c>
      <c r="B417" s="327">
        <f>('Pivot Table for Data Exchange'!$P$223)*100</f>
        <v>81.208959974508431</v>
      </c>
      <c r="C417" s="327">
        <f>('Pivot Table for Data Exchange'!$P$226)*100</f>
        <v>0</v>
      </c>
      <c r="D417" s="328">
        <f>SUM(E417:G417)</f>
        <v>18.791040025491569</v>
      </c>
      <c r="E417" s="327">
        <f>('Pivot Table for Data Exchange'!$P$229)*100</f>
        <v>18.791040025491569</v>
      </c>
      <c r="F417" s="327">
        <f>('Pivot Table for Data Exchange'!$P$232)*100</f>
        <v>0</v>
      </c>
      <c r="G417" s="335">
        <f>('Pivot Table for Data Exchange'!$P$235)*100</f>
        <v>0</v>
      </c>
      <c r="H417" s="327">
        <f>('Pivot Table for Data Exchange'!$P$238)*100</f>
        <v>0</v>
      </c>
      <c r="I417" s="373"/>
      <c r="J417" s="366"/>
      <c r="K417" s="366"/>
      <c r="L417" s="366"/>
      <c r="M417" s="366"/>
      <c r="N417" s="366"/>
      <c r="O417" s="366"/>
      <c r="P417" s="366"/>
      <c r="Q417" s="332">
        <f t="shared" si="50"/>
        <v>100</v>
      </c>
      <c r="R417" s="332"/>
      <c r="S417" s="381"/>
      <c r="T417" s="385"/>
      <c r="U417" s="381"/>
      <c r="V417" s="381"/>
      <c r="W417" s="381"/>
      <c r="X417" s="381"/>
      <c r="Y417" s="381"/>
      <c r="Z417" s="381"/>
      <c r="AA417" s="381"/>
      <c r="AB417" s="381"/>
      <c r="AC417" s="381"/>
      <c r="AD417" s="381"/>
      <c r="AE417" s="381"/>
      <c r="AF417" s="381"/>
      <c r="AG417" s="381"/>
      <c r="AH417" s="381"/>
      <c r="AI417" s="381"/>
      <c r="AJ417" s="381"/>
      <c r="AK417" s="381"/>
      <c r="AL417" s="381"/>
      <c r="AM417" s="381"/>
      <c r="AN417" s="381"/>
      <c r="AO417" s="381"/>
    </row>
    <row r="418" spans="1:41" ht="15.75" customHeight="1">
      <c r="A418" s="298" t="s">
        <v>832</v>
      </c>
      <c r="B418" s="327">
        <f>('Pivot Table for Data Exchange'!$P$259)*100</f>
        <v>0</v>
      </c>
      <c r="C418" s="327">
        <f>('Pivot Table for Data Exchange'!$P$262)*100</f>
        <v>0</v>
      </c>
      <c r="D418" s="328">
        <f>SUM(E418:G418)</f>
        <v>0</v>
      </c>
      <c r="E418" s="327">
        <f>('Pivot Table for Data Exchange'!$P$265)*100</f>
        <v>0</v>
      </c>
      <c r="F418" s="327">
        <f>('Pivot Table for Data Exchange'!$P$268)*100</f>
        <v>0</v>
      </c>
      <c r="G418" s="335">
        <f>('Pivot Table for Data Exchange'!$P$271)*100</f>
        <v>0</v>
      </c>
      <c r="H418" s="327">
        <f>('Pivot Table for Data Exchange'!$P$274)*100</f>
        <v>0</v>
      </c>
      <c r="I418" s="298"/>
      <c r="J418" s="366"/>
      <c r="K418" s="366"/>
      <c r="L418" s="366"/>
      <c r="M418" s="366"/>
      <c r="N418" s="366"/>
      <c r="O418" s="366"/>
      <c r="P418" s="366"/>
      <c r="Q418" s="332">
        <f t="shared" si="50"/>
        <v>0</v>
      </c>
      <c r="R418" s="332"/>
      <c r="S418" s="381"/>
      <c r="U418" s="381"/>
      <c r="V418" s="381"/>
      <c r="W418" s="381"/>
      <c r="X418" s="381"/>
      <c r="Y418" s="381"/>
      <c r="Z418" s="381"/>
      <c r="AA418" s="381"/>
      <c r="AB418" s="381"/>
      <c r="AC418" s="381"/>
      <c r="AD418" s="381"/>
      <c r="AE418" s="381"/>
      <c r="AF418" s="381"/>
      <c r="AG418" s="381"/>
      <c r="AH418" s="381"/>
      <c r="AI418" s="381"/>
      <c r="AJ418" s="381"/>
      <c r="AK418" s="381"/>
      <c r="AL418" s="381"/>
      <c r="AM418" s="381"/>
      <c r="AN418" s="381"/>
      <c r="AO418" s="381"/>
    </row>
    <row r="419" spans="1:41" ht="15.75" customHeight="1">
      <c r="B419" s="327"/>
      <c r="C419" s="327"/>
      <c r="D419" s="328"/>
      <c r="E419" s="327"/>
      <c r="F419" s="327"/>
      <c r="G419" s="335"/>
      <c r="H419" s="327"/>
      <c r="I419" s="298"/>
      <c r="J419" s="366"/>
      <c r="K419" s="366"/>
      <c r="L419" s="366"/>
      <c r="M419" s="366"/>
      <c r="N419" s="366"/>
      <c r="O419" s="366"/>
      <c r="P419" s="366"/>
      <c r="Q419" s="332">
        <f t="shared" si="50"/>
        <v>0</v>
      </c>
      <c r="R419" s="332"/>
      <c r="S419" s="381"/>
      <c r="U419" s="381"/>
      <c r="V419" s="381"/>
      <c r="W419" s="381"/>
      <c r="X419" s="381"/>
      <c r="Y419" s="381"/>
      <c r="Z419" s="381"/>
      <c r="AA419" s="381"/>
      <c r="AB419" s="381"/>
      <c r="AC419" s="381"/>
      <c r="AD419" s="381"/>
      <c r="AE419" s="381"/>
      <c r="AF419" s="381"/>
      <c r="AG419" s="381"/>
      <c r="AH419" s="381"/>
      <c r="AI419" s="381"/>
      <c r="AJ419" s="381"/>
      <c r="AK419" s="381"/>
      <c r="AL419" s="381"/>
      <c r="AM419" s="381"/>
      <c r="AN419" s="381"/>
      <c r="AO419" s="381"/>
    </row>
    <row r="420" spans="1:41" ht="15.75" customHeight="1">
      <c r="A420" s="298" t="s">
        <v>833</v>
      </c>
      <c r="B420" s="327">
        <f>('Pivot Table for Data Exchange'!$P$295)*100</f>
        <v>0</v>
      </c>
      <c r="C420" s="327">
        <f>('Pivot Table for Data Exchange'!$P$298)*100</f>
        <v>0</v>
      </c>
      <c r="D420" s="328">
        <f>SUM(E420:G420)</f>
        <v>0</v>
      </c>
      <c r="E420" s="327">
        <f>('Pivot Table for Data Exchange'!$P$301)*100</f>
        <v>0</v>
      </c>
      <c r="F420" s="327">
        <f>('Pivot Table for Data Exchange'!$P$304)*100</f>
        <v>0</v>
      </c>
      <c r="G420" s="335">
        <f>('Pivot Table for Data Exchange'!$P$307)*100</f>
        <v>0</v>
      </c>
      <c r="H420" s="327">
        <f>('Pivot Table for Data Exchange'!$P$310)*100</f>
        <v>0</v>
      </c>
      <c r="I420" s="298"/>
      <c r="J420" s="366"/>
      <c r="K420" s="366"/>
      <c r="L420" s="366"/>
      <c r="M420" s="366"/>
      <c r="N420" s="366"/>
      <c r="O420" s="366"/>
      <c r="P420" s="366"/>
      <c r="Q420" s="332">
        <f t="shared" si="50"/>
        <v>0</v>
      </c>
      <c r="R420" s="332"/>
      <c r="S420" s="381"/>
      <c r="T420" s="381"/>
      <c r="U420" s="381"/>
      <c r="V420" s="381"/>
      <c r="W420" s="381"/>
      <c r="X420" s="381"/>
      <c r="Y420" s="381"/>
      <c r="Z420" s="381"/>
      <c r="AA420" s="381"/>
      <c r="AB420" s="381"/>
      <c r="AC420" s="381"/>
      <c r="AD420" s="381"/>
      <c r="AE420" s="381"/>
      <c r="AF420" s="381"/>
      <c r="AG420" s="381"/>
      <c r="AH420" s="381"/>
      <c r="AI420" s="381"/>
      <c r="AJ420" s="381"/>
      <c r="AK420" s="381"/>
      <c r="AL420" s="381"/>
      <c r="AM420" s="381"/>
      <c r="AN420" s="381"/>
      <c r="AO420" s="381"/>
    </row>
    <row r="421" spans="1:41" ht="15.75" customHeight="1">
      <c r="A421" s="298" t="s">
        <v>834</v>
      </c>
      <c r="B421" s="327">
        <f>('Pivot Table for Data Exchange'!$P$331)*100</f>
        <v>0</v>
      </c>
      <c r="C421" s="327">
        <f>('Pivot Table for Data Exchange'!$P$334)*100</f>
        <v>0</v>
      </c>
      <c r="D421" s="328">
        <f>SUM(E421:G421)</f>
        <v>0</v>
      </c>
      <c r="E421" s="327">
        <f>('Pivot Table for Data Exchange'!$P$337)*100</f>
        <v>0</v>
      </c>
      <c r="F421" s="327">
        <f>('Pivot Table for Data Exchange'!$P$340)*100</f>
        <v>0</v>
      </c>
      <c r="G421" s="335">
        <f>('Pivot Table for Data Exchange'!$P$343)*100</f>
        <v>0</v>
      </c>
      <c r="H421" s="327">
        <f>('Pivot Table for Data Exchange'!$P$346)*100</f>
        <v>0</v>
      </c>
      <c r="I421" s="298"/>
      <c r="J421" s="366"/>
      <c r="K421" s="366"/>
      <c r="L421" s="366"/>
      <c r="M421" s="366"/>
      <c r="N421" s="366"/>
      <c r="O421" s="366"/>
      <c r="P421" s="366"/>
      <c r="Q421" s="332">
        <f t="shared" si="50"/>
        <v>0</v>
      </c>
      <c r="R421" s="332"/>
      <c r="S421" s="381"/>
      <c r="T421" s="381"/>
      <c r="U421" s="381"/>
      <c r="V421" s="381"/>
      <c r="W421" s="381"/>
      <c r="X421" s="381"/>
      <c r="Y421" s="381"/>
      <c r="Z421" s="381"/>
      <c r="AA421" s="381"/>
      <c r="AB421" s="381"/>
      <c r="AC421" s="381"/>
      <c r="AD421" s="381"/>
      <c r="AE421" s="381"/>
      <c r="AF421" s="381"/>
      <c r="AG421" s="381"/>
      <c r="AH421" s="381"/>
      <c r="AI421" s="381"/>
      <c r="AJ421" s="381"/>
      <c r="AK421" s="381"/>
      <c r="AL421" s="381"/>
      <c r="AM421" s="381"/>
      <c r="AN421" s="381"/>
      <c r="AO421" s="381"/>
    </row>
    <row r="422" spans="1:41" ht="15.75" customHeight="1">
      <c r="A422" s="298" t="s">
        <v>835</v>
      </c>
      <c r="B422" s="327">
        <f>('Pivot Table for Data Exchange'!$P$367)*100</f>
        <v>0</v>
      </c>
      <c r="C422" s="327">
        <f>('Pivot Table for Data Exchange'!$P$370)*100</f>
        <v>0</v>
      </c>
      <c r="D422" s="328">
        <f>SUM(E422:G422)</f>
        <v>0</v>
      </c>
      <c r="E422" s="327">
        <f>('Pivot Table for Data Exchange'!$P$373)*100</f>
        <v>0</v>
      </c>
      <c r="F422" s="327">
        <f>('Pivot Table for Data Exchange'!$P$376)*100</f>
        <v>0</v>
      </c>
      <c r="G422" s="335">
        <f>('Pivot Table for Data Exchange'!$P$379)*100</f>
        <v>0</v>
      </c>
      <c r="H422" s="327">
        <f>('Pivot Table for Data Exchange'!$P$382)*100</f>
        <v>0</v>
      </c>
      <c r="I422" s="298"/>
      <c r="J422" s="366"/>
      <c r="K422" s="366"/>
      <c r="L422" s="366"/>
      <c r="M422" s="366"/>
      <c r="N422" s="366"/>
      <c r="O422" s="366"/>
      <c r="P422" s="366"/>
      <c r="Q422" s="332">
        <f t="shared" si="50"/>
        <v>0</v>
      </c>
      <c r="R422" s="332"/>
      <c r="S422" s="381"/>
      <c r="T422" s="385"/>
      <c r="U422" s="381"/>
      <c r="V422" s="381"/>
      <c r="W422" s="381"/>
      <c r="X422" s="381"/>
      <c r="Y422" s="381"/>
      <c r="Z422" s="381"/>
      <c r="AA422" s="381"/>
      <c r="AB422" s="381"/>
      <c r="AC422" s="381"/>
      <c r="AD422" s="381"/>
      <c r="AE422" s="381"/>
      <c r="AF422" s="381"/>
      <c r="AG422" s="381"/>
      <c r="AH422" s="381"/>
      <c r="AI422" s="381"/>
      <c r="AJ422" s="381"/>
      <c r="AK422" s="381"/>
      <c r="AL422" s="381"/>
      <c r="AM422" s="381"/>
      <c r="AN422" s="381"/>
      <c r="AO422" s="381"/>
    </row>
    <row r="423" spans="1:41" ht="15.75" customHeight="1">
      <c r="A423" s="298" t="s">
        <v>836</v>
      </c>
      <c r="B423" s="327">
        <f>('Pivot Table for Data Exchange'!$P$403)*100</f>
        <v>0</v>
      </c>
      <c r="C423" s="327">
        <f>('Pivot Table for Data Exchange'!$P$406)*100</f>
        <v>0</v>
      </c>
      <c r="D423" s="328">
        <f>SUM(E423:G423)</f>
        <v>0</v>
      </c>
      <c r="E423" s="327">
        <f>('Pivot Table for Data Exchange'!$P$409)*100</f>
        <v>0</v>
      </c>
      <c r="F423" s="327">
        <f>('Pivot Table for Data Exchange'!$P$412)*100</f>
        <v>0</v>
      </c>
      <c r="G423" s="335">
        <f>('Pivot Table for Data Exchange'!$P$415)*100</f>
        <v>0</v>
      </c>
      <c r="H423" s="327">
        <f>('Pivot Table for Data Exchange'!$P$418)*100</f>
        <v>0</v>
      </c>
      <c r="I423" s="298"/>
      <c r="J423" s="366"/>
      <c r="K423" s="366"/>
      <c r="L423" s="366"/>
      <c r="M423" s="366"/>
      <c r="N423" s="366"/>
      <c r="O423" s="366"/>
      <c r="P423" s="366"/>
      <c r="Q423" s="332">
        <f t="shared" si="50"/>
        <v>0</v>
      </c>
      <c r="R423" s="332"/>
      <c r="S423" s="381"/>
      <c r="T423" s="381"/>
      <c r="U423" s="381"/>
      <c r="V423" s="381"/>
      <c r="W423" s="381"/>
      <c r="X423" s="381"/>
      <c r="Y423" s="381"/>
      <c r="Z423" s="381"/>
      <c r="AA423" s="381"/>
      <c r="AB423" s="381"/>
      <c r="AC423" s="381"/>
      <c r="AD423" s="381"/>
      <c r="AE423" s="381"/>
      <c r="AF423" s="381"/>
      <c r="AG423" s="381"/>
      <c r="AH423" s="381"/>
      <c r="AI423" s="381"/>
      <c r="AJ423" s="381"/>
      <c r="AK423" s="381"/>
      <c r="AL423" s="381"/>
      <c r="AM423" s="381"/>
      <c r="AN423" s="381"/>
      <c r="AO423" s="381"/>
    </row>
    <row r="424" spans="1:41" ht="15.75" customHeight="1">
      <c r="B424" s="327"/>
      <c r="C424" s="327"/>
      <c r="D424" s="328"/>
      <c r="E424" s="327"/>
      <c r="F424" s="327"/>
      <c r="G424" s="335"/>
      <c r="H424" s="327"/>
      <c r="I424" s="298"/>
      <c r="J424" s="366"/>
      <c r="K424" s="366"/>
      <c r="L424" s="366"/>
      <c r="M424" s="366"/>
      <c r="N424" s="366"/>
      <c r="O424" s="366"/>
      <c r="P424" s="366"/>
      <c r="Q424" s="332">
        <f t="shared" si="50"/>
        <v>0</v>
      </c>
      <c r="R424" s="332"/>
      <c r="S424" s="381"/>
      <c r="T424" s="381"/>
      <c r="U424" s="381"/>
      <c r="V424" s="381"/>
      <c r="W424" s="381"/>
      <c r="X424" s="381"/>
      <c r="Y424" s="381"/>
      <c r="Z424" s="381"/>
      <c r="AA424" s="381"/>
      <c r="AB424" s="381"/>
      <c r="AC424" s="381"/>
      <c r="AD424" s="381"/>
      <c r="AE424" s="381"/>
      <c r="AF424" s="381"/>
      <c r="AG424" s="381"/>
      <c r="AH424" s="381"/>
      <c r="AI424" s="381"/>
      <c r="AJ424" s="381"/>
      <c r="AK424" s="381"/>
      <c r="AL424" s="381"/>
      <c r="AM424" s="381"/>
      <c r="AN424" s="381"/>
      <c r="AO424" s="381"/>
    </row>
    <row r="425" spans="1:41" ht="15.75" customHeight="1">
      <c r="A425" s="298" t="s">
        <v>837</v>
      </c>
      <c r="B425" s="327">
        <f>('Pivot Table for Data Exchange'!$P$439)*100</f>
        <v>0</v>
      </c>
      <c r="C425" s="327">
        <f>('Pivot Table for Data Exchange'!$P$442)*100</f>
        <v>0</v>
      </c>
      <c r="D425" s="328">
        <f>SUM(E425:G425)</f>
        <v>0</v>
      </c>
      <c r="E425" s="327">
        <f>('Pivot Table for Data Exchange'!$P$445)*100</f>
        <v>0</v>
      </c>
      <c r="F425" s="327">
        <f>('Pivot Table for Data Exchange'!$P$448)*100</f>
        <v>0</v>
      </c>
      <c r="G425" s="335">
        <f>('Pivot Table for Data Exchange'!$P$451)*100</f>
        <v>0</v>
      </c>
      <c r="H425" s="327">
        <f>('Pivot Table for Data Exchange'!$P$454)*100</f>
        <v>0</v>
      </c>
      <c r="I425" s="298"/>
      <c r="J425" s="366"/>
      <c r="K425" s="366"/>
      <c r="L425" s="366"/>
      <c r="M425" s="366"/>
      <c r="N425" s="366"/>
      <c r="O425" s="366"/>
      <c r="P425" s="366"/>
      <c r="Q425" s="332">
        <f t="shared" si="50"/>
        <v>0</v>
      </c>
      <c r="R425" s="332"/>
      <c r="S425" s="381"/>
      <c r="T425" s="381"/>
      <c r="U425" s="381"/>
      <c r="V425" s="381"/>
      <c r="W425" s="381"/>
      <c r="X425" s="381"/>
      <c r="Y425" s="381"/>
      <c r="Z425" s="381"/>
      <c r="AA425" s="381"/>
      <c r="AB425" s="381"/>
      <c r="AC425" s="381"/>
      <c r="AD425" s="381"/>
      <c r="AE425" s="381"/>
      <c r="AF425" s="381"/>
      <c r="AG425" s="381"/>
      <c r="AH425" s="381"/>
      <c r="AI425" s="381"/>
      <c r="AJ425" s="381"/>
      <c r="AK425" s="381"/>
      <c r="AL425" s="381"/>
      <c r="AM425" s="381"/>
      <c r="AN425" s="381"/>
      <c r="AO425" s="381"/>
    </row>
    <row r="426" spans="1:41" ht="15.75" customHeight="1">
      <c r="A426" s="298" t="s">
        <v>838</v>
      </c>
      <c r="B426" s="327">
        <f>('Pivot Table for Data Exchange'!$P$475)*100</f>
        <v>0</v>
      </c>
      <c r="C426" s="327">
        <f>('Pivot Table for Data Exchange'!$P$478)*100</f>
        <v>0</v>
      </c>
      <c r="D426" s="328">
        <f>SUM(E426:G426)</f>
        <v>0</v>
      </c>
      <c r="E426" s="327">
        <f>('Pivot Table for Data Exchange'!$P$481)*100</f>
        <v>0</v>
      </c>
      <c r="F426" s="327">
        <f>('Pivot Table for Data Exchange'!$P$484)*100</f>
        <v>0</v>
      </c>
      <c r="G426" s="335">
        <f>('Pivot Table for Data Exchange'!$P$487)*100</f>
        <v>0</v>
      </c>
      <c r="H426" s="327">
        <f>('Pivot Table for Data Exchange'!$P$490)*100</f>
        <v>0</v>
      </c>
      <c r="I426" s="298"/>
      <c r="J426" s="366"/>
      <c r="K426" s="366"/>
      <c r="L426" s="366"/>
      <c r="M426" s="366"/>
      <c r="N426" s="366"/>
      <c r="O426" s="366"/>
      <c r="P426" s="366"/>
      <c r="Q426" s="332">
        <f t="shared" si="50"/>
        <v>0</v>
      </c>
      <c r="R426" s="332"/>
      <c r="S426" s="381"/>
      <c r="T426" s="381"/>
      <c r="U426" s="381"/>
      <c r="V426" s="381"/>
      <c r="W426" s="381"/>
      <c r="X426" s="381"/>
      <c r="Y426" s="381"/>
      <c r="Z426" s="381"/>
      <c r="AA426" s="381"/>
      <c r="AB426" s="381"/>
      <c r="AC426" s="381"/>
      <c r="AD426" s="381"/>
      <c r="AE426" s="381"/>
      <c r="AF426" s="381"/>
      <c r="AG426" s="381"/>
      <c r="AH426" s="381"/>
      <c r="AI426" s="381"/>
      <c r="AJ426" s="381"/>
      <c r="AK426" s="381"/>
      <c r="AL426" s="381"/>
      <c r="AM426" s="381"/>
      <c r="AN426" s="381"/>
      <c r="AO426" s="381"/>
    </row>
    <row r="427" spans="1:41" ht="15.75" customHeight="1">
      <c r="A427" s="298" t="s">
        <v>839</v>
      </c>
      <c r="B427" s="327">
        <f>('Pivot Table for Data Exchange'!$P$511)*100</f>
        <v>0</v>
      </c>
      <c r="C427" s="327">
        <f>('Pivot Table for Data Exchange'!$P$514)*100</f>
        <v>0</v>
      </c>
      <c r="D427" s="328">
        <f>SUM(E427:G427)</f>
        <v>0</v>
      </c>
      <c r="E427" s="327">
        <f>('Pivot Table for Data Exchange'!$P$517)*100</f>
        <v>0</v>
      </c>
      <c r="F427" s="327">
        <f>('Pivot Table for Data Exchange'!$P$520)*100</f>
        <v>0</v>
      </c>
      <c r="G427" s="335">
        <f>('Pivot Table for Data Exchange'!$P$523)*100</f>
        <v>0</v>
      </c>
      <c r="H427" s="327">
        <f>('Pivot Table for Data Exchange'!$P$526)*100</f>
        <v>0</v>
      </c>
      <c r="I427" s="298"/>
      <c r="J427" s="366"/>
      <c r="K427" s="366"/>
      <c r="L427" s="366"/>
      <c r="M427" s="366"/>
      <c r="N427" s="366"/>
      <c r="O427" s="366"/>
      <c r="P427" s="366"/>
      <c r="Q427" s="332">
        <f t="shared" si="50"/>
        <v>0</v>
      </c>
      <c r="R427" s="332"/>
      <c r="S427" s="381"/>
      <c r="T427" s="381"/>
      <c r="U427" s="381"/>
      <c r="V427" s="381"/>
      <c r="W427" s="381"/>
      <c r="X427" s="381"/>
      <c r="Y427" s="381"/>
      <c r="Z427" s="381"/>
      <c r="AA427" s="381"/>
      <c r="AB427" s="381"/>
      <c r="AC427" s="381"/>
      <c r="AD427" s="381"/>
      <c r="AE427" s="381"/>
      <c r="AF427" s="381"/>
      <c r="AG427" s="381"/>
      <c r="AH427" s="381"/>
      <c r="AI427" s="381"/>
      <c r="AJ427" s="381"/>
      <c r="AK427" s="381"/>
      <c r="AL427" s="381"/>
      <c r="AM427" s="381"/>
      <c r="AN427" s="381"/>
      <c r="AO427" s="381"/>
    </row>
    <row r="428" spans="1:41" ht="15.75" customHeight="1">
      <c r="A428" s="304" t="s">
        <v>840</v>
      </c>
      <c r="B428" s="340">
        <f>('Pivot Table for Data Exchange'!$P$547)*100</f>
        <v>0</v>
      </c>
      <c r="C428" s="340">
        <f>('Pivot Table for Data Exchange'!$P$550)*100</f>
        <v>0</v>
      </c>
      <c r="D428" s="341">
        <f>SUM(E428:G428)</f>
        <v>0</v>
      </c>
      <c r="E428" s="340">
        <f>('Pivot Table for Data Exchange'!$P$553)*100</f>
        <v>0</v>
      </c>
      <c r="F428" s="340">
        <f>('Pivot Table for Data Exchange'!$P$556)*100</f>
        <v>0</v>
      </c>
      <c r="G428" s="342">
        <f>('Pivot Table for Data Exchange'!$P$559)*100</f>
        <v>0</v>
      </c>
      <c r="H428" s="340">
        <f>('Pivot Table for Data Exchange'!$P$562)*100</f>
        <v>0</v>
      </c>
      <c r="I428" s="298"/>
      <c r="J428" s="366"/>
      <c r="K428" s="366"/>
      <c r="L428" s="366"/>
      <c r="M428" s="366"/>
      <c r="N428" s="366"/>
      <c r="O428" s="366"/>
      <c r="P428" s="366"/>
      <c r="Q428" s="332">
        <f t="shared" si="50"/>
        <v>0</v>
      </c>
      <c r="R428" s="332"/>
      <c r="S428" s="381"/>
      <c r="T428" s="381"/>
      <c r="U428" s="381"/>
      <c r="V428" s="381"/>
      <c r="W428" s="381"/>
      <c r="X428" s="381"/>
      <c r="Y428" s="381"/>
      <c r="Z428" s="381"/>
      <c r="AA428" s="381"/>
      <c r="AB428" s="381"/>
      <c r="AC428" s="381"/>
      <c r="AD428" s="381"/>
      <c r="AE428" s="381"/>
      <c r="AF428" s="381"/>
      <c r="AG428" s="381"/>
      <c r="AH428" s="381"/>
      <c r="AI428" s="381"/>
      <c r="AJ428" s="381"/>
      <c r="AK428" s="381"/>
      <c r="AL428" s="381"/>
      <c r="AM428" s="381"/>
      <c r="AN428" s="381"/>
      <c r="AO428" s="381"/>
    </row>
    <row r="429" spans="1:41" s="371" customFormat="1" ht="13.5" customHeight="1">
      <c r="A429" s="346" t="s">
        <v>866</v>
      </c>
      <c r="B429" s="347"/>
      <c r="C429" s="347"/>
      <c r="D429" s="348"/>
      <c r="E429" s="347"/>
      <c r="F429" s="348"/>
      <c r="G429" s="348"/>
      <c r="H429" s="347"/>
      <c r="I429" s="356"/>
      <c r="J429" s="347"/>
      <c r="K429" s="347"/>
      <c r="L429" s="348"/>
      <c r="M429" s="347"/>
      <c r="N429" s="348"/>
      <c r="O429" s="348"/>
      <c r="P429" s="347"/>
      <c r="Q429" s="332">
        <f t="shared" si="50"/>
        <v>0</v>
      </c>
      <c r="R429" s="367"/>
      <c r="S429" s="384"/>
      <c r="T429" s="384"/>
      <c r="U429" s="384"/>
      <c r="V429" s="384"/>
      <c r="W429" s="384"/>
      <c r="X429" s="384"/>
      <c r="Y429" s="384"/>
      <c r="Z429" s="384"/>
      <c r="AA429" s="384"/>
      <c r="AB429" s="384"/>
      <c r="AC429" s="384"/>
      <c r="AD429" s="384"/>
      <c r="AE429" s="384"/>
      <c r="AF429" s="384"/>
      <c r="AG429" s="384"/>
      <c r="AH429" s="384"/>
      <c r="AI429" s="384"/>
      <c r="AJ429" s="384"/>
      <c r="AK429" s="384"/>
      <c r="AL429" s="384"/>
      <c r="AM429" s="384"/>
      <c r="AN429" s="384"/>
      <c r="AO429" s="384"/>
    </row>
    <row r="430" spans="1:41" s="371" customFormat="1" ht="13.5" customHeight="1">
      <c r="A430" s="356"/>
      <c r="B430" s="357"/>
      <c r="C430" s="345"/>
      <c r="D430" s="345"/>
      <c r="E430" s="345"/>
      <c r="F430" s="345"/>
      <c r="G430" s="345"/>
      <c r="H430" s="345"/>
      <c r="I430" s="356"/>
      <c r="J430" s="345"/>
      <c r="K430" s="345"/>
      <c r="L430" s="345"/>
      <c r="M430" s="345"/>
      <c r="N430" s="345"/>
      <c r="O430" s="345"/>
      <c r="P430" s="358"/>
      <c r="Q430" s="332">
        <f t="shared" si="50"/>
        <v>0</v>
      </c>
      <c r="R430" s="368"/>
    </row>
    <row r="431" spans="1:41" s="371" customFormat="1" ht="13.5" customHeight="1">
      <c r="A431" s="356"/>
      <c r="B431" s="345"/>
      <c r="C431" s="345"/>
      <c r="D431" s="345"/>
      <c r="E431" s="345"/>
      <c r="F431" s="345"/>
      <c r="G431" s="345"/>
      <c r="H431" s="351" t="s">
        <v>980</v>
      </c>
      <c r="I431" s="356"/>
      <c r="J431" s="345"/>
      <c r="K431" s="345"/>
      <c r="L431" s="345"/>
      <c r="M431" s="345"/>
      <c r="N431" s="345"/>
      <c r="O431" s="345"/>
      <c r="P431" s="345"/>
      <c r="Q431" s="332">
        <f t="shared" si="50"/>
        <v>0</v>
      </c>
      <c r="R431" s="368"/>
    </row>
    <row r="432" spans="1:41" ht="18">
      <c r="A432" s="293" t="s">
        <v>889</v>
      </c>
      <c r="B432" s="294"/>
      <c r="C432" s="294"/>
      <c r="D432" s="294"/>
      <c r="E432" s="294"/>
      <c r="F432" s="294"/>
      <c r="G432" s="294"/>
      <c r="H432" s="294"/>
      <c r="Q432" s="332">
        <f t="shared" si="50"/>
        <v>0</v>
      </c>
    </row>
    <row r="433" spans="1:41">
      <c r="A433" s="299"/>
      <c r="B433" s="295"/>
      <c r="C433" s="295"/>
      <c r="D433" s="295"/>
      <c r="E433" s="295"/>
      <c r="F433" s="295"/>
      <c r="G433" s="295"/>
      <c r="H433" s="295"/>
      <c r="Q433" s="332">
        <f t="shared" si="50"/>
        <v>0</v>
      </c>
    </row>
    <row r="434" spans="1:41" ht="15.75">
      <c r="A434" s="301" t="s">
        <v>846</v>
      </c>
      <c r="B434" s="295"/>
      <c r="C434" s="295"/>
      <c r="D434" s="295"/>
      <c r="E434" s="295"/>
      <c r="F434" s="295"/>
      <c r="G434" s="295"/>
      <c r="H434" s="295"/>
      <c r="Q434" s="332">
        <f t="shared" si="50"/>
        <v>0</v>
      </c>
    </row>
    <row r="435" spans="1:41" ht="15.75">
      <c r="A435" s="301" t="s">
        <v>995</v>
      </c>
      <c r="B435" s="295"/>
      <c r="C435" s="295"/>
      <c r="D435" s="295"/>
      <c r="E435" s="295"/>
      <c r="F435" s="295"/>
      <c r="G435" s="295"/>
      <c r="H435" s="295"/>
      <c r="Q435" s="332">
        <f t="shared" si="50"/>
        <v>0</v>
      </c>
    </row>
    <row r="436" spans="1:41">
      <c r="A436" s="304"/>
      <c r="B436" s="305"/>
      <c r="C436" s="305"/>
      <c r="D436" s="305"/>
      <c r="E436" s="305"/>
      <c r="F436" s="305"/>
      <c r="G436" s="305"/>
      <c r="H436" s="305"/>
      <c r="Q436" s="332">
        <f t="shared" si="50"/>
        <v>0</v>
      </c>
    </row>
    <row r="437" spans="1:41">
      <c r="A437" s="309"/>
      <c r="B437" s="310" t="s">
        <v>848</v>
      </c>
      <c r="C437" s="310"/>
      <c r="D437" s="310"/>
      <c r="E437" s="310"/>
      <c r="F437" s="310"/>
      <c r="G437" s="310"/>
      <c r="H437" s="311"/>
      <c r="Q437" s="332">
        <f t="shared" si="50"/>
        <v>0</v>
      </c>
    </row>
    <row r="438" spans="1:41">
      <c r="A438" s="309"/>
      <c r="B438" s="310" t="s">
        <v>849</v>
      </c>
      <c r="C438" s="310"/>
      <c r="D438" s="450" t="s">
        <v>850</v>
      </c>
      <c r="E438" s="448"/>
      <c r="F438" s="448"/>
      <c r="G438" s="448"/>
      <c r="H438" s="317" t="s">
        <v>740</v>
      </c>
      <c r="Q438" s="332">
        <f t="shared" si="50"/>
        <v>0</v>
      </c>
    </row>
    <row r="439" spans="1:41" ht="36">
      <c r="A439" s="309"/>
      <c r="B439" s="318" t="s">
        <v>851</v>
      </c>
      <c r="C439" s="319" t="s">
        <v>852</v>
      </c>
      <c r="D439" s="320" t="s">
        <v>853</v>
      </c>
      <c r="E439" s="321" t="s">
        <v>8</v>
      </c>
      <c r="F439" s="318" t="s">
        <v>854</v>
      </c>
      <c r="G439" s="322" t="s">
        <v>864</v>
      </c>
      <c r="H439" s="323" t="s">
        <v>856</v>
      </c>
      <c r="Q439" s="332">
        <f t="shared" si="50"/>
        <v>0</v>
      </c>
    </row>
    <row r="440" spans="1:41" ht="15.75" customHeight="1">
      <c r="A440" s="353" t="s">
        <v>825</v>
      </c>
      <c r="B440" s="380">
        <f>('Pivot Table for Data Exchange'!$Q$7)*100</f>
        <v>85.913429847904098</v>
      </c>
      <c r="C440" s="327">
        <f>('Pivot Table for Data Exchange'!$Q$10)*100</f>
        <v>4.8192182808036916</v>
      </c>
      <c r="D440" s="328">
        <f>SUM(E440:G440)</f>
        <v>9.2673518712922043</v>
      </c>
      <c r="E440" s="327">
        <f>('Pivot Table for Data Exchange'!$Q$13)*100</f>
        <v>9.2673518712922043</v>
      </c>
      <c r="F440" s="327">
        <f>('Pivot Table for Data Exchange'!$Q$16)*100</f>
        <v>0</v>
      </c>
      <c r="G440" s="331">
        <f>('Pivot Table for Data Exchange'!$Q$19)*100</f>
        <v>0</v>
      </c>
      <c r="H440" s="327">
        <f>('Pivot Table for Data Exchange'!$Q$22)*100</f>
        <v>0</v>
      </c>
      <c r="I440" s="298"/>
      <c r="J440" s="366"/>
      <c r="K440" s="366"/>
      <c r="L440" s="366"/>
      <c r="M440" s="366"/>
      <c r="N440" s="366"/>
      <c r="O440" s="366"/>
      <c r="P440" s="366"/>
      <c r="Q440" s="332">
        <f t="shared" si="50"/>
        <v>100</v>
      </c>
      <c r="R440" s="332"/>
      <c r="S440" s="381"/>
      <c r="T440" s="381"/>
      <c r="U440" s="381"/>
      <c r="V440" s="381"/>
      <c r="W440" s="381"/>
      <c r="X440" s="381"/>
      <c r="Y440" s="381"/>
      <c r="Z440" s="381"/>
      <c r="AA440" s="381"/>
      <c r="AB440" s="381"/>
      <c r="AC440" s="381"/>
      <c r="AD440" s="381"/>
      <c r="AE440" s="381"/>
      <c r="AF440" s="381"/>
      <c r="AG440" s="381"/>
      <c r="AH440" s="381"/>
      <c r="AI440" s="381"/>
      <c r="AJ440" s="381"/>
      <c r="AK440" s="381"/>
      <c r="AL440" s="381"/>
      <c r="AM440" s="381"/>
      <c r="AN440" s="381"/>
      <c r="AO440" s="381"/>
    </row>
    <row r="441" spans="1:41" ht="15.75" customHeight="1">
      <c r="A441" s="298" t="s">
        <v>826</v>
      </c>
      <c r="B441" s="327">
        <f>('Pivot Table for Data Exchange'!$Q$43)*100</f>
        <v>0</v>
      </c>
      <c r="C441" s="327">
        <f>('Pivot Table for Data Exchange'!$Q$46)*100</f>
        <v>0</v>
      </c>
      <c r="D441" s="328">
        <f t="shared" ref="D441:D443" si="52">SUM(E441:G441)</f>
        <v>0</v>
      </c>
      <c r="E441" s="327">
        <f>('Pivot Table for Data Exchange'!$Q$49)*100</f>
        <v>0</v>
      </c>
      <c r="F441" s="327">
        <f>('Pivot Table for Data Exchange'!$Q$52)*100</f>
        <v>0</v>
      </c>
      <c r="G441" s="335">
        <f>('Pivot Table for Data Exchange'!$Q$55)*100</f>
        <v>0</v>
      </c>
      <c r="H441" s="327">
        <f>('Pivot Table for Data Exchange'!$Q$58)*100</f>
        <v>0</v>
      </c>
      <c r="I441" s="298"/>
      <c r="J441" s="366"/>
      <c r="K441" s="366"/>
      <c r="L441" s="366"/>
      <c r="M441" s="366"/>
      <c r="N441" s="366"/>
      <c r="O441" s="366"/>
      <c r="P441" s="366"/>
      <c r="Q441" s="332">
        <f t="shared" si="50"/>
        <v>0</v>
      </c>
      <c r="R441" s="332"/>
      <c r="S441" s="381"/>
      <c r="T441" s="381"/>
      <c r="U441" s="381"/>
      <c r="V441" s="381"/>
      <c r="W441" s="381"/>
      <c r="X441" s="381"/>
      <c r="Y441" s="381"/>
      <c r="Z441" s="381"/>
      <c r="AA441" s="381"/>
      <c r="AB441" s="381"/>
      <c r="AC441" s="381"/>
      <c r="AD441" s="381"/>
      <c r="AE441" s="381"/>
      <c r="AF441" s="381"/>
      <c r="AG441" s="381"/>
      <c r="AH441" s="381"/>
      <c r="AI441" s="381"/>
      <c r="AJ441" s="381"/>
      <c r="AK441" s="381"/>
      <c r="AL441" s="381"/>
      <c r="AM441" s="381"/>
      <c r="AN441" s="381"/>
      <c r="AO441" s="381"/>
    </row>
    <row r="442" spans="1:41" ht="15.75" customHeight="1">
      <c r="A442" s="298" t="s">
        <v>827</v>
      </c>
      <c r="B442" s="327">
        <f>('Pivot Table for Data Exchange'!$Q$79)*100</f>
        <v>0</v>
      </c>
      <c r="C442" s="327">
        <f>('Pivot Table for Data Exchange'!$Q$82)*100</f>
        <v>0</v>
      </c>
      <c r="D442" s="328">
        <f t="shared" si="52"/>
        <v>0</v>
      </c>
      <c r="E442" s="327">
        <f>('Pivot Table for Data Exchange'!$Q$85)*100</f>
        <v>0</v>
      </c>
      <c r="F442" s="327">
        <f>('Pivot Table for Data Exchange'!$Q$88)*100</f>
        <v>0</v>
      </c>
      <c r="G442" s="335">
        <f>('Pivot Table for Data Exchange'!$Q$91)*100</f>
        <v>0</v>
      </c>
      <c r="H442" s="327">
        <f>('Pivot Table for Data Exchange'!$Q$94)*100</f>
        <v>0</v>
      </c>
      <c r="I442" s="298"/>
      <c r="J442" s="366"/>
      <c r="K442" s="366"/>
      <c r="L442" s="366"/>
      <c r="M442" s="366"/>
      <c r="N442" s="366"/>
      <c r="O442" s="366"/>
      <c r="P442" s="366"/>
      <c r="Q442" s="332">
        <f t="shared" si="50"/>
        <v>0</v>
      </c>
      <c r="R442" s="332"/>
      <c r="S442" s="381"/>
      <c r="T442" s="385"/>
      <c r="U442" s="381"/>
      <c r="V442" s="381"/>
      <c r="W442" s="381"/>
      <c r="X442" s="381"/>
      <c r="Y442" s="381"/>
      <c r="Z442" s="381"/>
      <c r="AA442" s="381"/>
      <c r="AB442" s="381"/>
      <c r="AC442" s="381"/>
      <c r="AD442" s="381"/>
      <c r="AE442" s="381"/>
      <c r="AF442" s="381"/>
      <c r="AG442" s="381"/>
      <c r="AH442" s="381"/>
      <c r="AI442" s="381"/>
      <c r="AJ442" s="381"/>
      <c r="AK442" s="381"/>
      <c r="AL442" s="381"/>
      <c r="AM442" s="381"/>
      <c r="AN442" s="381"/>
      <c r="AO442" s="381"/>
    </row>
    <row r="443" spans="1:41" ht="15.75" customHeight="1">
      <c r="A443" s="298" t="s">
        <v>828</v>
      </c>
      <c r="B443" s="327">
        <f>('Pivot Table for Data Exchange'!$Q$115)*100</f>
        <v>0</v>
      </c>
      <c r="C443" s="327">
        <f>('Pivot Table for Data Exchange'!$Q$118)*100</f>
        <v>0</v>
      </c>
      <c r="D443" s="328">
        <f t="shared" si="52"/>
        <v>0</v>
      </c>
      <c r="E443" s="327">
        <f>('Pivot Table for Data Exchange'!$Q$121)*100</f>
        <v>0</v>
      </c>
      <c r="F443" s="327">
        <f>('Pivot Table for Data Exchange'!$Q$124)*100</f>
        <v>0</v>
      </c>
      <c r="G443" s="335">
        <f>('Pivot Table for Data Exchange'!$Q$127)*100</f>
        <v>0</v>
      </c>
      <c r="H443" s="327">
        <f>('Pivot Table for Data Exchange'!$Q$130)*100</f>
        <v>0</v>
      </c>
      <c r="I443" s="298"/>
      <c r="J443" s="366"/>
      <c r="K443" s="366"/>
      <c r="L443" s="366"/>
      <c r="M443" s="366"/>
      <c r="N443" s="366"/>
      <c r="O443" s="366"/>
      <c r="P443" s="366"/>
      <c r="Q443" s="332">
        <f t="shared" si="50"/>
        <v>0</v>
      </c>
      <c r="R443" s="332"/>
      <c r="S443" s="381"/>
      <c r="U443" s="381"/>
      <c r="V443" s="381"/>
      <c r="W443" s="381"/>
      <c r="X443" s="381"/>
      <c r="Y443" s="381"/>
      <c r="Z443" s="381"/>
      <c r="AA443" s="381"/>
      <c r="AB443" s="381"/>
      <c r="AC443" s="381"/>
      <c r="AD443" s="381"/>
      <c r="AE443" s="381"/>
      <c r="AF443" s="381"/>
      <c r="AG443" s="381"/>
      <c r="AH443" s="381"/>
      <c r="AI443" s="381"/>
      <c r="AJ443" s="381"/>
      <c r="AK443" s="381"/>
      <c r="AL443" s="381"/>
      <c r="AM443" s="381"/>
      <c r="AN443" s="381"/>
      <c r="AO443" s="381"/>
    </row>
    <row r="444" spans="1:41" ht="15.75" customHeight="1">
      <c r="B444" s="327"/>
      <c r="C444" s="327"/>
      <c r="D444" s="328"/>
      <c r="E444" s="327"/>
      <c r="F444" s="327"/>
      <c r="G444" s="335"/>
      <c r="H444" s="327"/>
      <c r="I444" s="298"/>
      <c r="J444" s="366"/>
      <c r="K444" s="366"/>
      <c r="L444" s="366"/>
      <c r="M444" s="366"/>
      <c r="N444" s="366"/>
      <c r="O444" s="366"/>
      <c r="P444" s="366"/>
      <c r="Q444" s="332">
        <f t="shared" si="50"/>
        <v>0</v>
      </c>
      <c r="R444" s="332"/>
      <c r="S444" s="381"/>
      <c r="U444" s="381"/>
      <c r="V444" s="381"/>
      <c r="W444" s="381"/>
      <c r="X444" s="381"/>
      <c r="Y444" s="381"/>
      <c r="Z444" s="381"/>
      <c r="AA444" s="381"/>
      <c r="AB444" s="381"/>
      <c r="AC444" s="381"/>
      <c r="AD444" s="381"/>
      <c r="AE444" s="381"/>
      <c r="AF444" s="381"/>
      <c r="AG444" s="381"/>
      <c r="AH444" s="381"/>
      <c r="AI444" s="381"/>
      <c r="AJ444" s="381"/>
      <c r="AK444" s="381"/>
      <c r="AL444" s="381"/>
      <c r="AM444" s="381"/>
      <c r="AN444" s="381"/>
      <c r="AO444" s="381"/>
    </row>
    <row r="445" spans="1:41" ht="15.75" customHeight="1">
      <c r="A445" s="298" t="s">
        <v>829</v>
      </c>
      <c r="B445" s="327">
        <f>('Pivot Table for Data Exchange'!$Q$151)*100</f>
        <v>0</v>
      </c>
      <c r="C445" s="327">
        <f>('Pivot Table for Data Exchange'!$Q$154)*100</f>
        <v>0</v>
      </c>
      <c r="D445" s="328">
        <f t="shared" ref="D445:D446" si="53">SUM(E445:G445)</f>
        <v>0</v>
      </c>
      <c r="E445" s="327">
        <f>('Pivot Table for Data Exchange'!$Q$157)*100</f>
        <v>0</v>
      </c>
      <c r="F445" s="327">
        <f>('Pivot Table for Data Exchange'!$Q$160)*100</f>
        <v>0</v>
      </c>
      <c r="G445" s="335">
        <f>('Pivot Table for Data Exchange'!$Q$163)*100</f>
        <v>0</v>
      </c>
      <c r="H445" s="327">
        <f>('Pivot Table for Data Exchange'!$Q$166)*100</f>
        <v>0</v>
      </c>
      <c r="I445" s="298"/>
      <c r="J445" s="366"/>
      <c r="K445" s="366"/>
      <c r="L445" s="366"/>
      <c r="M445" s="366"/>
      <c r="N445" s="366"/>
      <c r="O445" s="366"/>
      <c r="P445" s="366"/>
      <c r="Q445" s="332">
        <f t="shared" si="50"/>
        <v>0</v>
      </c>
      <c r="R445" s="332"/>
      <c r="S445" s="381"/>
      <c r="T445" s="381"/>
      <c r="U445" s="381"/>
      <c r="V445" s="381"/>
      <c r="W445" s="381"/>
      <c r="X445" s="381"/>
      <c r="Y445" s="381"/>
      <c r="Z445" s="381"/>
      <c r="AA445" s="381"/>
      <c r="AB445" s="381"/>
      <c r="AC445" s="381"/>
      <c r="AD445" s="381"/>
      <c r="AE445" s="381"/>
      <c r="AF445" s="381"/>
      <c r="AG445" s="381"/>
      <c r="AH445" s="381"/>
      <c r="AI445" s="381"/>
      <c r="AJ445" s="381"/>
      <c r="AK445" s="381"/>
      <c r="AL445" s="381"/>
      <c r="AM445" s="381"/>
      <c r="AN445" s="381"/>
      <c r="AO445" s="381"/>
    </row>
    <row r="446" spans="1:41" ht="15.75" customHeight="1">
      <c r="A446" s="298" t="s">
        <v>830</v>
      </c>
      <c r="B446" s="327">
        <f>('Pivot Table for Data Exchange'!$Q$187)*100</f>
        <v>0</v>
      </c>
      <c r="C446" s="327">
        <f>('Pivot Table for Data Exchange'!$Q$190)*100</f>
        <v>0</v>
      </c>
      <c r="D446" s="328">
        <f t="shared" si="53"/>
        <v>0</v>
      </c>
      <c r="E446" s="327">
        <f>('Pivot Table for Data Exchange'!$Q$193)*100</f>
        <v>0</v>
      </c>
      <c r="F446" s="327">
        <f>('Pivot Table for Data Exchange'!$Q$196)*100</f>
        <v>0</v>
      </c>
      <c r="G446" s="335">
        <f>('Pivot Table for Data Exchange'!$Q$199)*100</f>
        <v>0</v>
      </c>
      <c r="H446" s="327">
        <f>('Pivot Table for Data Exchange'!$Q$202)*100</f>
        <v>0</v>
      </c>
      <c r="I446" s="298"/>
      <c r="J446" s="366"/>
      <c r="K446" s="366"/>
      <c r="L446" s="366"/>
      <c r="M446" s="366"/>
      <c r="N446" s="366"/>
      <c r="O446" s="366"/>
      <c r="P446" s="366"/>
      <c r="Q446" s="332">
        <f t="shared" si="50"/>
        <v>0</v>
      </c>
      <c r="R446" s="332"/>
      <c r="S446" s="381"/>
      <c r="T446" s="381"/>
      <c r="U446" s="381"/>
      <c r="V446" s="381"/>
      <c r="W446" s="381"/>
      <c r="X446" s="381"/>
      <c r="Y446" s="381"/>
      <c r="Z446" s="381"/>
      <c r="AA446" s="381"/>
      <c r="AB446" s="381"/>
      <c r="AC446" s="381"/>
      <c r="AD446" s="381"/>
      <c r="AE446" s="381"/>
      <c r="AF446" s="381"/>
      <c r="AG446" s="381"/>
      <c r="AH446" s="381"/>
      <c r="AI446" s="381"/>
      <c r="AJ446" s="381"/>
      <c r="AK446" s="381"/>
      <c r="AL446" s="381"/>
      <c r="AM446" s="381"/>
      <c r="AN446" s="381"/>
      <c r="AO446" s="381"/>
    </row>
    <row r="447" spans="1:41" ht="15.75" customHeight="1">
      <c r="A447" s="298" t="s">
        <v>831</v>
      </c>
      <c r="B447" s="327">
        <f>('Pivot Table for Data Exchange'!$Q$223)*100</f>
        <v>0</v>
      </c>
      <c r="C447" s="327">
        <f>('Pivot Table for Data Exchange'!$Q$226)*100</f>
        <v>0</v>
      </c>
      <c r="D447" s="328">
        <f>SUM(E447:G447)</f>
        <v>0</v>
      </c>
      <c r="E447" s="327">
        <f>('Pivot Table for Data Exchange'!$Q$229)*100</f>
        <v>0</v>
      </c>
      <c r="F447" s="327">
        <f>('Pivot Table for Data Exchange'!$Q$232)*100</f>
        <v>0</v>
      </c>
      <c r="G447" s="335">
        <f>('Pivot Table for Data Exchange'!$Q$235)*100</f>
        <v>0</v>
      </c>
      <c r="H447" s="327">
        <f>('Pivot Table for Data Exchange'!$Q$238)*100</f>
        <v>0</v>
      </c>
      <c r="I447" s="373"/>
      <c r="J447" s="366"/>
      <c r="K447" s="366"/>
      <c r="L447" s="366"/>
      <c r="M447" s="366"/>
      <c r="N447" s="366"/>
      <c r="O447" s="366"/>
      <c r="P447" s="366"/>
      <c r="Q447" s="332">
        <f t="shared" si="50"/>
        <v>0</v>
      </c>
      <c r="R447" s="332"/>
      <c r="S447" s="381"/>
      <c r="T447" s="385"/>
      <c r="U447" s="381"/>
      <c r="V447" s="381"/>
      <c r="W447" s="381"/>
      <c r="X447" s="381"/>
      <c r="Y447" s="381"/>
      <c r="Z447" s="381"/>
      <c r="AA447" s="381"/>
      <c r="AB447" s="381"/>
      <c r="AC447" s="381"/>
      <c r="AD447" s="381"/>
      <c r="AE447" s="381"/>
      <c r="AF447" s="381"/>
      <c r="AG447" s="381"/>
      <c r="AH447" s="381"/>
      <c r="AI447" s="381"/>
      <c r="AJ447" s="381"/>
      <c r="AK447" s="381"/>
      <c r="AL447" s="381"/>
      <c r="AM447" s="381"/>
      <c r="AN447" s="381"/>
      <c r="AO447" s="381"/>
    </row>
    <row r="448" spans="1:41" ht="15.75" customHeight="1">
      <c r="A448" s="298" t="s">
        <v>832</v>
      </c>
      <c r="B448" s="327">
        <f>('Pivot Table for Data Exchange'!$Q$259)*100</f>
        <v>0</v>
      </c>
      <c r="C448" s="327">
        <f>('Pivot Table for Data Exchange'!$Q$262)*100</f>
        <v>0</v>
      </c>
      <c r="D448" s="328">
        <f>SUM(E448:G448)</f>
        <v>0</v>
      </c>
      <c r="E448" s="327">
        <f>('Pivot Table for Data Exchange'!$Q$265)*100</f>
        <v>0</v>
      </c>
      <c r="F448" s="327">
        <f>('Pivot Table for Data Exchange'!$Q$268)*100</f>
        <v>0</v>
      </c>
      <c r="G448" s="335">
        <f>('Pivot Table for Data Exchange'!$Q$271)*100</f>
        <v>0</v>
      </c>
      <c r="H448" s="327">
        <f>('Pivot Table for Data Exchange'!$Q$274)*100</f>
        <v>0</v>
      </c>
      <c r="I448" s="298"/>
      <c r="J448" s="366"/>
      <c r="K448" s="366"/>
      <c r="L448" s="366"/>
      <c r="M448" s="366"/>
      <c r="N448" s="366"/>
      <c r="O448" s="366"/>
      <c r="P448" s="366"/>
      <c r="Q448" s="332">
        <f t="shared" si="50"/>
        <v>0</v>
      </c>
      <c r="R448" s="332"/>
      <c r="S448" s="381"/>
      <c r="U448" s="381"/>
      <c r="V448" s="381"/>
      <c r="W448" s="381"/>
      <c r="X448" s="381"/>
      <c r="Y448" s="381"/>
      <c r="Z448" s="381"/>
      <c r="AA448" s="381"/>
      <c r="AB448" s="381"/>
      <c r="AC448" s="381"/>
      <c r="AD448" s="381"/>
      <c r="AE448" s="381"/>
      <c r="AF448" s="381"/>
      <c r="AG448" s="381"/>
      <c r="AH448" s="381"/>
      <c r="AI448" s="381"/>
      <c r="AJ448" s="381"/>
      <c r="AK448" s="381"/>
      <c r="AL448" s="381"/>
      <c r="AM448" s="381"/>
      <c r="AN448" s="381"/>
      <c r="AO448" s="381"/>
    </row>
    <row r="449" spans="1:41" ht="15.75" customHeight="1">
      <c r="B449" s="327"/>
      <c r="C449" s="327"/>
      <c r="D449" s="328"/>
      <c r="E449" s="327"/>
      <c r="F449" s="327"/>
      <c r="G449" s="335"/>
      <c r="H449" s="327"/>
      <c r="I449" s="298"/>
      <c r="J449" s="366"/>
      <c r="K449" s="366"/>
      <c r="L449" s="366"/>
      <c r="M449" s="366"/>
      <c r="N449" s="366"/>
      <c r="O449" s="366"/>
      <c r="P449" s="366"/>
      <c r="Q449" s="332">
        <f t="shared" si="50"/>
        <v>0</v>
      </c>
      <c r="R449" s="332"/>
      <c r="S449" s="381"/>
      <c r="U449" s="381"/>
      <c r="V449" s="381"/>
      <c r="W449" s="381"/>
      <c r="X449" s="381"/>
      <c r="Y449" s="381"/>
      <c r="Z449" s="381"/>
      <c r="AA449" s="381"/>
      <c r="AB449" s="381"/>
      <c r="AC449" s="381"/>
      <c r="AD449" s="381"/>
      <c r="AE449" s="381"/>
      <c r="AF449" s="381"/>
      <c r="AG449" s="381"/>
      <c r="AH449" s="381"/>
      <c r="AI449" s="381"/>
      <c r="AJ449" s="381"/>
      <c r="AK449" s="381"/>
      <c r="AL449" s="381"/>
      <c r="AM449" s="381"/>
      <c r="AN449" s="381"/>
      <c r="AO449" s="381"/>
    </row>
    <row r="450" spans="1:41" ht="15.75" customHeight="1">
      <c r="A450" s="298" t="s">
        <v>833</v>
      </c>
      <c r="B450" s="327">
        <f>('Pivot Table for Data Exchange'!$Q$295)*100</f>
        <v>0</v>
      </c>
      <c r="C450" s="327">
        <f>('Pivot Table for Data Exchange'!$Q$298)*100</f>
        <v>0</v>
      </c>
      <c r="D450" s="328">
        <f>SUM(E450:G450)</f>
        <v>0</v>
      </c>
      <c r="E450" s="327">
        <f>('Pivot Table for Data Exchange'!$Q$301)*100</f>
        <v>0</v>
      </c>
      <c r="F450" s="327">
        <f>('Pivot Table for Data Exchange'!$Q$304)*100</f>
        <v>0</v>
      </c>
      <c r="G450" s="335">
        <f>('Pivot Table for Data Exchange'!$Q$307)*100</f>
        <v>0</v>
      </c>
      <c r="H450" s="327">
        <f>('Pivot Table for Data Exchange'!$Q$310)*100</f>
        <v>0</v>
      </c>
      <c r="I450" s="298"/>
      <c r="J450" s="366"/>
      <c r="K450" s="366"/>
      <c r="L450" s="366"/>
      <c r="M450" s="366"/>
      <c r="N450" s="366"/>
      <c r="O450" s="366"/>
      <c r="P450" s="366"/>
      <c r="Q450" s="332">
        <f t="shared" si="50"/>
        <v>0</v>
      </c>
      <c r="R450" s="332"/>
      <c r="S450" s="381"/>
      <c r="T450" s="381"/>
      <c r="U450" s="381"/>
      <c r="V450" s="381"/>
      <c r="W450" s="381"/>
      <c r="X450" s="381"/>
      <c r="Y450" s="381"/>
      <c r="Z450" s="381"/>
      <c r="AA450" s="381"/>
      <c r="AB450" s="381"/>
      <c r="AC450" s="381"/>
      <c r="AD450" s="381"/>
      <c r="AE450" s="381"/>
      <c r="AF450" s="381"/>
      <c r="AG450" s="381"/>
      <c r="AH450" s="381"/>
      <c r="AI450" s="381"/>
      <c r="AJ450" s="381"/>
      <c r="AK450" s="381"/>
      <c r="AL450" s="381"/>
      <c r="AM450" s="381"/>
      <c r="AN450" s="381"/>
      <c r="AO450" s="381"/>
    </row>
    <row r="451" spans="1:41" ht="15.75" customHeight="1">
      <c r="A451" s="298" t="s">
        <v>834</v>
      </c>
      <c r="B451" s="327">
        <f>('Pivot Table for Data Exchange'!$Q$331)*100</f>
        <v>0</v>
      </c>
      <c r="C451" s="327">
        <f>('Pivot Table for Data Exchange'!$Q$334)*100</f>
        <v>0</v>
      </c>
      <c r="D451" s="328">
        <f>SUM(E451:G451)</f>
        <v>0</v>
      </c>
      <c r="E451" s="327">
        <f>('Pivot Table for Data Exchange'!$Q$337)*100</f>
        <v>0</v>
      </c>
      <c r="F451" s="327">
        <f>('Pivot Table for Data Exchange'!$Q$340)*100</f>
        <v>0</v>
      </c>
      <c r="G451" s="335">
        <f>('Pivot Table for Data Exchange'!$Q$343)*100</f>
        <v>0</v>
      </c>
      <c r="H451" s="327">
        <f>('Pivot Table for Data Exchange'!$Q$346)*100</f>
        <v>0</v>
      </c>
      <c r="I451" s="298"/>
      <c r="J451" s="366"/>
      <c r="K451" s="366"/>
      <c r="L451" s="366"/>
      <c r="M451" s="366"/>
      <c r="N451" s="366"/>
      <c r="O451" s="366"/>
      <c r="P451" s="366"/>
      <c r="Q451" s="332">
        <f t="shared" si="50"/>
        <v>0</v>
      </c>
      <c r="R451" s="332"/>
      <c r="S451" s="381"/>
      <c r="T451" s="381"/>
      <c r="U451" s="381"/>
      <c r="V451" s="381"/>
      <c r="W451" s="381"/>
      <c r="X451" s="381"/>
      <c r="Y451" s="381"/>
      <c r="Z451" s="381"/>
      <c r="AA451" s="381"/>
      <c r="AB451" s="381"/>
      <c r="AC451" s="381"/>
      <c r="AD451" s="381"/>
      <c r="AE451" s="381"/>
      <c r="AF451" s="381"/>
      <c r="AG451" s="381"/>
      <c r="AH451" s="381"/>
      <c r="AI451" s="381"/>
      <c r="AJ451" s="381"/>
      <c r="AK451" s="381"/>
      <c r="AL451" s="381"/>
      <c r="AM451" s="381"/>
      <c r="AN451" s="381"/>
      <c r="AO451" s="381"/>
    </row>
    <row r="452" spans="1:41" ht="15.75" customHeight="1">
      <c r="A452" s="298" t="s">
        <v>835</v>
      </c>
      <c r="B452" s="327">
        <f>('Pivot Table for Data Exchange'!$Q$367)*100</f>
        <v>0</v>
      </c>
      <c r="C452" s="327">
        <f>('Pivot Table for Data Exchange'!$Q$370)*100</f>
        <v>0</v>
      </c>
      <c r="D452" s="328">
        <f>SUM(E452:G452)</f>
        <v>0</v>
      </c>
      <c r="E452" s="327">
        <f>('Pivot Table for Data Exchange'!$Q$373)*100</f>
        <v>0</v>
      </c>
      <c r="F452" s="327">
        <f>('Pivot Table for Data Exchange'!$Q$376)*100</f>
        <v>0</v>
      </c>
      <c r="G452" s="335">
        <f>('Pivot Table for Data Exchange'!$Q$379)*100</f>
        <v>0</v>
      </c>
      <c r="H452" s="327">
        <f>('Pivot Table for Data Exchange'!$Q$382)*100</f>
        <v>0</v>
      </c>
      <c r="I452" s="298"/>
      <c r="J452" s="366"/>
      <c r="K452" s="366"/>
      <c r="L452" s="366"/>
      <c r="M452" s="366"/>
      <c r="N452" s="366"/>
      <c r="O452" s="366"/>
      <c r="P452" s="366"/>
      <c r="Q452" s="332">
        <f t="shared" si="50"/>
        <v>0</v>
      </c>
      <c r="R452" s="332"/>
      <c r="S452" s="381"/>
      <c r="T452" s="385"/>
      <c r="U452" s="381"/>
      <c r="V452" s="381"/>
      <c r="W452" s="381"/>
      <c r="X452" s="381"/>
      <c r="Y452" s="381"/>
      <c r="Z452" s="381"/>
      <c r="AA452" s="381"/>
      <c r="AB452" s="381"/>
      <c r="AC452" s="381"/>
      <c r="AD452" s="381"/>
      <c r="AE452" s="381"/>
      <c r="AF452" s="381"/>
      <c r="AG452" s="381"/>
      <c r="AH452" s="381"/>
      <c r="AI452" s="381"/>
      <c r="AJ452" s="381"/>
      <c r="AK452" s="381"/>
      <c r="AL452" s="381"/>
      <c r="AM452" s="381"/>
      <c r="AN452" s="381"/>
      <c r="AO452" s="381"/>
    </row>
    <row r="453" spans="1:41" ht="15.75" customHeight="1">
      <c r="A453" s="298" t="s">
        <v>836</v>
      </c>
      <c r="B453" s="327">
        <f>('Pivot Table for Data Exchange'!$Q$403)*100</f>
        <v>0</v>
      </c>
      <c r="C453" s="327">
        <f>('Pivot Table for Data Exchange'!$Q$406)*100</f>
        <v>0</v>
      </c>
      <c r="D453" s="328">
        <f>SUM(E453:G453)</f>
        <v>0</v>
      </c>
      <c r="E453" s="327">
        <f>('Pivot Table for Data Exchange'!$Q$409)*100</f>
        <v>0</v>
      </c>
      <c r="F453" s="327">
        <f>('Pivot Table for Data Exchange'!$Q$412)*100</f>
        <v>0</v>
      </c>
      <c r="G453" s="335">
        <f>('Pivot Table for Data Exchange'!$Q$415)*100</f>
        <v>0</v>
      </c>
      <c r="H453" s="327">
        <f>('Pivot Table for Data Exchange'!$Q$418)*100</f>
        <v>0</v>
      </c>
      <c r="I453" s="298"/>
      <c r="J453" s="366"/>
      <c r="K453" s="366"/>
      <c r="L453" s="366"/>
      <c r="M453" s="366"/>
      <c r="N453" s="366"/>
      <c r="O453" s="366"/>
      <c r="P453" s="366"/>
      <c r="Q453" s="332">
        <f t="shared" si="50"/>
        <v>0</v>
      </c>
      <c r="R453" s="332"/>
      <c r="S453" s="381"/>
      <c r="T453" s="381"/>
      <c r="U453" s="381"/>
      <c r="V453" s="381"/>
      <c r="W453" s="381"/>
      <c r="X453" s="381"/>
      <c r="Y453" s="381"/>
      <c r="Z453" s="381"/>
      <c r="AA453" s="381"/>
      <c r="AB453" s="381"/>
      <c r="AC453" s="381"/>
      <c r="AD453" s="381"/>
      <c r="AE453" s="381"/>
      <c r="AF453" s="381"/>
      <c r="AG453" s="381"/>
      <c r="AH453" s="381"/>
      <c r="AI453" s="381"/>
      <c r="AJ453" s="381"/>
      <c r="AK453" s="381"/>
      <c r="AL453" s="381"/>
      <c r="AM453" s="381"/>
      <c r="AN453" s="381"/>
      <c r="AO453" s="381"/>
    </row>
    <row r="454" spans="1:41" ht="15.75" customHeight="1">
      <c r="B454" s="327"/>
      <c r="C454" s="327"/>
      <c r="D454" s="328"/>
      <c r="E454" s="327"/>
      <c r="F454" s="327"/>
      <c r="G454" s="335"/>
      <c r="H454" s="327"/>
      <c r="I454" s="298"/>
      <c r="J454" s="366"/>
      <c r="K454" s="366"/>
      <c r="L454" s="366"/>
      <c r="M454" s="366"/>
      <c r="N454" s="366"/>
      <c r="O454" s="366"/>
      <c r="P454" s="366"/>
      <c r="Q454" s="332">
        <f t="shared" si="50"/>
        <v>0</v>
      </c>
      <c r="R454" s="332"/>
      <c r="S454" s="381"/>
      <c r="T454" s="381"/>
      <c r="U454" s="381"/>
      <c r="V454" s="381"/>
      <c r="W454" s="381"/>
      <c r="X454" s="381"/>
      <c r="Y454" s="381"/>
      <c r="Z454" s="381"/>
      <c r="AA454" s="381"/>
      <c r="AB454" s="381"/>
      <c r="AC454" s="381"/>
      <c r="AD454" s="381"/>
      <c r="AE454" s="381"/>
      <c r="AF454" s="381"/>
      <c r="AG454" s="381"/>
      <c r="AH454" s="381"/>
      <c r="AI454" s="381"/>
      <c r="AJ454" s="381"/>
      <c r="AK454" s="381"/>
      <c r="AL454" s="381"/>
      <c r="AM454" s="381"/>
      <c r="AN454" s="381"/>
      <c r="AO454" s="381"/>
    </row>
    <row r="455" spans="1:41" ht="15.75" customHeight="1">
      <c r="A455" s="298" t="s">
        <v>837</v>
      </c>
      <c r="B455" s="327">
        <f>('Pivot Table for Data Exchange'!$Q$439)*100</f>
        <v>0</v>
      </c>
      <c r="C455" s="327">
        <f>('Pivot Table for Data Exchange'!$Q$442)*100</f>
        <v>0</v>
      </c>
      <c r="D455" s="328">
        <f>SUM(E455:G455)</f>
        <v>0</v>
      </c>
      <c r="E455" s="327">
        <f>('Pivot Table for Data Exchange'!$Q$445)*100</f>
        <v>0</v>
      </c>
      <c r="F455" s="327">
        <f>('Pivot Table for Data Exchange'!$Q$448)*100</f>
        <v>0</v>
      </c>
      <c r="G455" s="335">
        <f>('Pivot Table for Data Exchange'!$Q$451)*100</f>
        <v>0</v>
      </c>
      <c r="H455" s="327">
        <f>('Pivot Table for Data Exchange'!$Q$454)*100</f>
        <v>0</v>
      </c>
      <c r="I455" s="298"/>
      <c r="J455" s="366"/>
      <c r="K455" s="366"/>
      <c r="L455" s="366"/>
      <c r="M455" s="366"/>
      <c r="N455" s="366"/>
      <c r="O455" s="366"/>
      <c r="P455" s="366"/>
      <c r="Q455" s="332">
        <f t="shared" si="50"/>
        <v>0</v>
      </c>
      <c r="R455" s="332"/>
      <c r="S455" s="381"/>
      <c r="T455" s="381"/>
      <c r="U455" s="381"/>
      <c r="V455" s="381"/>
      <c r="W455" s="381"/>
      <c r="X455" s="381"/>
      <c r="Y455" s="381"/>
      <c r="Z455" s="381"/>
      <c r="AA455" s="381"/>
      <c r="AB455" s="381"/>
      <c r="AC455" s="381"/>
      <c r="AD455" s="381"/>
      <c r="AE455" s="381"/>
      <c r="AF455" s="381"/>
      <c r="AG455" s="381"/>
      <c r="AH455" s="381"/>
      <c r="AI455" s="381"/>
      <c r="AJ455" s="381"/>
      <c r="AK455" s="381"/>
      <c r="AL455" s="381"/>
      <c r="AM455" s="381"/>
      <c r="AN455" s="381"/>
      <c r="AO455" s="381"/>
    </row>
    <row r="456" spans="1:41" ht="15.75" customHeight="1">
      <c r="A456" s="298" t="s">
        <v>838</v>
      </c>
      <c r="B456" s="327">
        <f>('Pivot Table for Data Exchange'!$Q$475)*100</f>
        <v>0</v>
      </c>
      <c r="C456" s="327">
        <f>('Pivot Table for Data Exchange'!$Q$478)*100</f>
        <v>0</v>
      </c>
      <c r="D456" s="328">
        <f>SUM(E456:G456)</f>
        <v>0</v>
      </c>
      <c r="E456" s="327">
        <f>('Pivot Table for Data Exchange'!$Q$481)*100</f>
        <v>0</v>
      </c>
      <c r="F456" s="327">
        <f>('Pivot Table for Data Exchange'!$Q$484)*100</f>
        <v>0</v>
      </c>
      <c r="G456" s="335">
        <f>('Pivot Table for Data Exchange'!$Q$487)*100</f>
        <v>0</v>
      </c>
      <c r="H456" s="327">
        <f>('Pivot Table for Data Exchange'!$Q$490)*100</f>
        <v>0</v>
      </c>
      <c r="I456" s="298"/>
      <c r="J456" s="366"/>
      <c r="K456" s="366"/>
      <c r="L456" s="366"/>
      <c r="M456" s="366"/>
      <c r="N456" s="366"/>
      <c r="O456" s="366"/>
      <c r="P456" s="366"/>
      <c r="Q456" s="332">
        <f t="shared" si="50"/>
        <v>0</v>
      </c>
      <c r="R456" s="332"/>
      <c r="S456" s="381"/>
      <c r="T456" s="381"/>
      <c r="U456" s="381"/>
      <c r="V456" s="381"/>
      <c r="W456" s="381"/>
      <c r="X456" s="381"/>
      <c r="Y456" s="381"/>
      <c r="Z456" s="381"/>
      <c r="AA456" s="381"/>
      <c r="AB456" s="381"/>
      <c r="AC456" s="381"/>
      <c r="AD456" s="381"/>
      <c r="AE456" s="381"/>
      <c r="AF456" s="381"/>
      <c r="AG456" s="381"/>
      <c r="AH456" s="381"/>
      <c r="AI456" s="381"/>
      <c r="AJ456" s="381"/>
      <c r="AK456" s="381"/>
      <c r="AL456" s="381"/>
      <c r="AM456" s="381"/>
      <c r="AN456" s="381"/>
      <c r="AO456" s="381"/>
    </row>
    <row r="457" spans="1:41" ht="15.75" customHeight="1">
      <c r="A457" s="298" t="s">
        <v>839</v>
      </c>
      <c r="B457" s="327">
        <f>('Pivot Table for Data Exchange'!$Q$511)*100</f>
        <v>0</v>
      </c>
      <c r="C457" s="327">
        <f>('Pivot Table for Data Exchange'!$Q$514)*100</f>
        <v>0</v>
      </c>
      <c r="D457" s="328">
        <f>SUM(E457:G457)</f>
        <v>0</v>
      </c>
      <c r="E457" s="327">
        <f>('Pivot Table for Data Exchange'!$Q$517)*100</f>
        <v>0</v>
      </c>
      <c r="F457" s="327">
        <f>('Pivot Table for Data Exchange'!$Q$520)*100</f>
        <v>0</v>
      </c>
      <c r="G457" s="335">
        <f>('Pivot Table for Data Exchange'!$Q$523)*100</f>
        <v>0</v>
      </c>
      <c r="H457" s="327">
        <f>('Pivot Table for Data Exchange'!$Q$526)*100</f>
        <v>0</v>
      </c>
      <c r="I457" s="298"/>
      <c r="J457" s="366"/>
      <c r="K457" s="366"/>
      <c r="L457" s="366"/>
      <c r="M457" s="366"/>
      <c r="N457" s="366"/>
      <c r="O457" s="366"/>
      <c r="P457" s="366"/>
      <c r="Q457" s="332">
        <f t="shared" si="50"/>
        <v>0</v>
      </c>
      <c r="R457" s="332"/>
      <c r="S457" s="381"/>
      <c r="T457" s="381"/>
      <c r="U457" s="381"/>
      <c r="V457" s="381"/>
      <c r="W457" s="381"/>
      <c r="X457" s="381"/>
      <c r="Y457" s="381"/>
      <c r="Z457" s="381"/>
      <c r="AA457" s="381"/>
      <c r="AB457" s="381"/>
      <c r="AC457" s="381"/>
      <c r="AD457" s="381"/>
      <c r="AE457" s="381"/>
      <c r="AF457" s="381"/>
      <c r="AG457" s="381"/>
      <c r="AH457" s="381"/>
      <c r="AI457" s="381"/>
      <c r="AJ457" s="381"/>
      <c r="AK457" s="381"/>
      <c r="AL457" s="381"/>
      <c r="AM457" s="381"/>
      <c r="AN457" s="381"/>
      <c r="AO457" s="381"/>
    </row>
    <row r="458" spans="1:41" ht="15.75" customHeight="1">
      <c r="A458" s="304" t="s">
        <v>840</v>
      </c>
      <c r="B458" s="340">
        <f>('Pivot Table for Data Exchange'!$Q$547)*100</f>
        <v>0</v>
      </c>
      <c r="C458" s="340">
        <f>('Pivot Table for Data Exchange'!$Q$550)*100</f>
        <v>0</v>
      </c>
      <c r="D458" s="341">
        <f>SUM(E458:G458)</f>
        <v>0</v>
      </c>
      <c r="E458" s="340">
        <f>('Pivot Table for Data Exchange'!$Q$553)*100</f>
        <v>0</v>
      </c>
      <c r="F458" s="340">
        <f>('Pivot Table for Data Exchange'!$Q$556)*100</f>
        <v>0</v>
      </c>
      <c r="G458" s="342">
        <f>('Pivot Table for Data Exchange'!$Q$559)*100</f>
        <v>0</v>
      </c>
      <c r="H458" s="340">
        <f>('Pivot Table for Data Exchange'!$Q$562)*100</f>
        <v>0</v>
      </c>
      <c r="I458" s="298"/>
      <c r="J458" s="366"/>
      <c r="K458" s="366"/>
      <c r="L458" s="366"/>
      <c r="M458" s="366"/>
      <c r="N458" s="366"/>
      <c r="O458" s="366"/>
      <c r="P458" s="366"/>
      <c r="Q458" s="332">
        <f t="shared" si="50"/>
        <v>0</v>
      </c>
      <c r="R458" s="332"/>
      <c r="S458" s="381"/>
      <c r="T458" s="381"/>
      <c r="U458" s="381"/>
      <c r="V458" s="381"/>
      <c r="W458" s="381"/>
      <c r="X458" s="381"/>
      <c r="Y458" s="381"/>
      <c r="Z458" s="381"/>
      <c r="AA458" s="381"/>
      <c r="AB458" s="381"/>
      <c r="AC458" s="381"/>
      <c r="AD458" s="381"/>
      <c r="AE458" s="381"/>
      <c r="AF458" s="381"/>
      <c r="AG458" s="381"/>
      <c r="AH458" s="381"/>
      <c r="AI458" s="381"/>
      <c r="AJ458" s="381"/>
      <c r="AK458" s="381"/>
      <c r="AL458" s="381"/>
      <c r="AM458" s="381"/>
      <c r="AN458" s="381"/>
      <c r="AO458" s="381"/>
    </row>
    <row r="459" spans="1:41" s="371" customFormat="1" ht="13.5" customHeight="1">
      <c r="A459" s="346" t="s">
        <v>866</v>
      </c>
      <c r="B459" s="347"/>
      <c r="C459" s="347"/>
      <c r="D459" s="348"/>
      <c r="E459" s="347"/>
      <c r="F459" s="348"/>
      <c r="G459" s="348"/>
      <c r="H459" s="347"/>
      <c r="I459" s="356"/>
      <c r="J459" s="347"/>
      <c r="K459" s="347"/>
      <c r="L459" s="348"/>
      <c r="M459" s="347"/>
      <c r="N459" s="348"/>
      <c r="O459" s="348"/>
      <c r="P459" s="347"/>
      <c r="Q459" s="367"/>
      <c r="R459" s="367"/>
      <c r="S459" s="384"/>
      <c r="T459" s="384"/>
      <c r="U459" s="384"/>
      <c r="V459" s="384"/>
      <c r="W459" s="384"/>
      <c r="X459" s="384"/>
      <c r="Y459" s="384"/>
      <c r="Z459" s="384"/>
      <c r="AA459" s="384"/>
      <c r="AB459" s="384"/>
      <c r="AC459" s="384"/>
      <c r="AD459" s="384"/>
      <c r="AE459" s="384"/>
      <c r="AF459" s="384"/>
      <c r="AG459" s="384"/>
      <c r="AH459" s="384"/>
      <c r="AI459" s="384"/>
      <c r="AJ459" s="384"/>
      <c r="AK459" s="384"/>
      <c r="AL459" s="384"/>
      <c r="AM459" s="384"/>
      <c r="AN459" s="384"/>
      <c r="AO459" s="384"/>
    </row>
    <row r="460" spans="1:41" s="371" customFormat="1" ht="18" customHeight="1">
      <c r="A460" s="356"/>
      <c r="B460" s="347"/>
      <c r="C460" s="347"/>
      <c r="D460" s="348"/>
      <c r="E460" s="347"/>
      <c r="F460" s="348"/>
      <c r="G460" s="348"/>
      <c r="H460" s="347"/>
      <c r="I460" s="356"/>
      <c r="J460" s="347"/>
      <c r="K460" s="347"/>
      <c r="L460" s="348"/>
      <c r="M460" s="347"/>
      <c r="N460" s="348"/>
      <c r="O460" s="348"/>
      <c r="P460" s="347"/>
      <c r="Q460" s="367"/>
      <c r="R460" s="367"/>
      <c r="S460" s="384"/>
      <c r="T460" s="384"/>
      <c r="U460" s="384"/>
      <c r="V460" s="384"/>
      <c r="W460" s="384"/>
      <c r="X460" s="384"/>
      <c r="Y460" s="384"/>
      <c r="Z460" s="384"/>
      <c r="AA460" s="384"/>
      <c r="AB460" s="384"/>
      <c r="AC460" s="384"/>
      <c r="AD460" s="384"/>
      <c r="AE460" s="384"/>
      <c r="AF460" s="384"/>
      <c r="AG460" s="384"/>
      <c r="AH460" s="384"/>
      <c r="AI460" s="384"/>
      <c r="AJ460" s="384"/>
      <c r="AK460" s="384"/>
      <c r="AL460" s="384"/>
      <c r="AM460" s="384"/>
      <c r="AN460" s="384"/>
      <c r="AO460" s="384"/>
    </row>
    <row r="461" spans="1:41" s="371" customFormat="1" ht="13.5" customHeight="1">
      <c r="A461" s="356"/>
      <c r="B461" s="357"/>
      <c r="C461" s="345"/>
      <c r="D461" s="345"/>
      <c r="E461" s="345"/>
      <c r="F461" s="345"/>
      <c r="G461" s="345"/>
      <c r="H461" s="351" t="s">
        <v>980</v>
      </c>
      <c r="I461" s="356"/>
      <c r="J461" s="345"/>
      <c r="K461" s="345"/>
      <c r="L461" s="345"/>
      <c r="M461" s="345"/>
      <c r="N461" s="345"/>
      <c r="O461" s="345"/>
      <c r="P461" s="358"/>
      <c r="Q461" s="375"/>
      <c r="R461" s="368"/>
    </row>
    <row r="462" spans="1:41" s="371" customFormat="1" ht="13.5" customHeight="1">
      <c r="A462" s="356"/>
      <c r="B462" s="345"/>
      <c r="C462" s="345"/>
      <c r="D462" s="345"/>
      <c r="E462" s="345"/>
      <c r="F462" s="345"/>
      <c r="G462" s="345"/>
      <c r="H462" s="345"/>
      <c r="I462" s="356"/>
      <c r="J462" s="345"/>
      <c r="K462" s="345"/>
      <c r="L462" s="345"/>
      <c r="M462" s="345"/>
      <c r="N462" s="345"/>
      <c r="O462" s="345"/>
      <c r="P462" s="345"/>
      <c r="Q462" s="375"/>
      <c r="R462" s="368"/>
    </row>
    <row r="463" spans="1:41" s="371" customFormat="1" ht="13.5" customHeight="1">
      <c r="A463" s="356"/>
      <c r="B463" s="345"/>
      <c r="C463" s="345"/>
      <c r="D463" s="345"/>
      <c r="E463" s="345"/>
      <c r="F463" s="345"/>
      <c r="G463" s="345"/>
      <c r="H463" s="345"/>
      <c r="I463" s="356"/>
      <c r="J463" s="345"/>
      <c r="K463" s="345"/>
      <c r="L463" s="345"/>
      <c r="M463" s="345"/>
      <c r="N463" s="345"/>
      <c r="O463" s="345"/>
      <c r="P463" s="345"/>
      <c r="Q463" s="375"/>
      <c r="R463" s="368"/>
    </row>
  </sheetData>
  <mergeCells count="42">
    <mergeCell ref="D347:G347"/>
    <mergeCell ref="A369:H369"/>
    <mergeCell ref="D378:G378"/>
    <mergeCell ref="D408:G408"/>
    <mergeCell ref="D438:G438"/>
    <mergeCell ref="A338:H338"/>
    <mergeCell ref="D192:G192"/>
    <mergeCell ref="L192:O192"/>
    <mergeCell ref="A214:H214"/>
    <mergeCell ref="I214:P214"/>
    <mergeCell ref="D223:G223"/>
    <mergeCell ref="A245:H245"/>
    <mergeCell ref="D254:G254"/>
    <mergeCell ref="A276:H276"/>
    <mergeCell ref="D285:G285"/>
    <mergeCell ref="A307:H307"/>
    <mergeCell ref="D316:G316"/>
    <mergeCell ref="D131:G131"/>
    <mergeCell ref="L131:O131"/>
    <mergeCell ref="A153:H153"/>
    <mergeCell ref="I153:P153"/>
    <mergeCell ref="D162:G162"/>
    <mergeCell ref="L162:O162"/>
    <mergeCell ref="D70:G70"/>
    <mergeCell ref="L70:O70"/>
    <mergeCell ref="D100:G100"/>
    <mergeCell ref="L100:O100"/>
    <mergeCell ref="A122:H122"/>
    <mergeCell ref="I122:P122"/>
    <mergeCell ref="D39:G39"/>
    <mergeCell ref="L39:O39"/>
    <mergeCell ref="A61:H61"/>
    <mergeCell ref="I61:P61"/>
    <mergeCell ref="A62:H62"/>
    <mergeCell ref="I62:P62"/>
    <mergeCell ref="A30:H30"/>
    <mergeCell ref="I30:P30"/>
    <mergeCell ref="Q2:X2"/>
    <mergeCell ref="D7:G7"/>
    <mergeCell ref="L7:O7"/>
    <mergeCell ref="A28:H28"/>
    <mergeCell ref="I28:P28"/>
  </mergeCells>
  <conditionalFormatting sqref="Q1:R7 Q9:R1048576">
    <cfRule type="cellIs" dxfId="4999" priority="1" stopIfTrue="1" operator="notEqual">
      <formula>100</formula>
    </cfRule>
  </conditionalFormatting>
  <pageMargins left="0.7" right="0.7" top="0.75" bottom="0.75" header="0.3" footer="0.3"/>
  <pageSetup scale="97" firstPageNumber="100" orientation="landscape" useFirstPageNumber="1" r:id="rId1"/>
  <headerFooter>
    <oddHeader>&amp;R&amp;"Arial,Regular"&amp;8SREB-State Data Exchange</oddHeader>
    <oddFooter>&amp;C&amp;"Arial,Regular"&amp;10&amp;P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4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2CB2-8CE9-468D-A283-05219871B5E2}">
  <sheetPr>
    <tabColor theme="5" tint="0.59999389629810485"/>
  </sheetPr>
  <dimension ref="A1:AO532"/>
  <sheetViews>
    <sheetView showZeros="0" view="pageBreakPreview" zoomScaleNormal="100" zoomScaleSheetLayoutView="100" workbookViewId="0">
      <selection activeCell="V21" sqref="V21"/>
    </sheetView>
  </sheetViews>
  <sheetFormatPr defaultRowHeight="12.75"/>
  <cols>
    <col min="1" max="1" width="10.44140625" style="298" customWidth="1"/>
    <col min="2" max="3" width="7.33203125" style="298" bestFit="1" customWidth="1"/>
    <col min="4" max="4" width="7.6640625" style="298" bestFit="1" customWidth="1"/>
    <col min="5" max="5" width="4.44140625" style="298" bestFit="1" customWidth="1"/>
    <col min="6" max="6" width="8.88671875" style="298" customWidth="1"/>
    <col min="7" max="7" width="6.109375" style="298" bestFit="1" customWidth="1"/>
    <col min="8" max="8" width="9.5546875" style="298" bestFit="1" customWidth="1"/>
    <col min="9" max="9" width="10.109375" style="364" customWidth="1"/>
    <col min="10" max="11" width="7" style="298" customWidth="1"/>
    <col min="12" max="12" width="7.77734375" style="298" bestFit="1" customWidth="1"/>
    <col min="13" max="13" width="5" style="298" bestFit="1" customWidth="1"/>
    <col min="14" max="14" width="8.77734375" style="298" customWidth="1"/>
    <col min="15" max="15" width="6.109375" style="298" bestFit="1" customWidth="1"/>
    <col min="16" max="16" width="9.5546875" style="298" bestFit="1" customWidth="1"/>
    <col min="17" max="17" width="9" style="302" bestFit="1" customWidth="1"/>
    <col min="18" max="18" width="9" style="308" bestFit="1" customWidth="1"/>
    <col min="19" max="16384" width="8.88671875" style="298"/>
  </cols>
  <sheetData>
    <row r="1" spans="1:41" ht="18">
      <c r="A1" s="293" t="s">
        <v>844</v>
      </c>
      <c r="B1" s="294"/>
      <c r="C1" s="294"/>
      <c r="D1" s="294"/>
      <c r="E1" s="294"/>
      <c r="F1" s="294"/>
      <c r="G1" s="294"/>
      <c r="H1" s="294"/>
      <c r="I1" s="293" t="s">
        <v>845</v>
      </c>
      <c r="J1" s="295"/>
      <c r="K1" s="295"/>
      <c r="L1" s="294"/>
      <c r="M1" s="295"/>
      <c r="N1" s="295"/>
      <c r="O1" s="295"/>
      <c r="P1" s="295"/>
      <c r="Q1" s="296"/>
      <c r="R1" s="297"/>
    </row>
    <row r="2" spans="1:41" ht="15">
      <c r="A2" s="299"/>
      <c r="B2" s="295"/>
      <c r="C2" s="295"/>
      <c r="D2" s="295"/>
      <c r="E2" s="295"/>
      <c r="F2" s="295"/>
      <c r="G2" s="295"/>
      <c r="H2" s="295"/>
      <c r="I2" s="299"/>
      <c r="J2" s="295"/>
      <c r="K2" s="295"/>
      <c r="L2" s="295"/>
      <c r="M2" s="295"/>
      <c r="N2" s="295"/>
      <c r="O2" s="295"/>
      <c r="P2" s="295"/>
      <c r="Q2" s="468"/>
      <c r="R2" s="467"/>
      <c r="S2" s="467"/>
      <c r="T2" s="467"/>
      <c r="U2" s="467"/>
      <c r="V2" s="467"/>
      <c r="W2" s="467"/>
      <c r="X2" s="467"/>
    </row>
    <row r="3" spans="1:41" ht="15.75">
      <c r="A3" s="301" t="s">
        <v>846</v>
      </c>
      <c r="B3" s="295"/>
      <c r="C3" s="295"/>
      <c r="D3" s="295"/>
      <c r="E3" s="295"/>
      <c r="F3" s="295"/>
      <c r="G3" s="295"/>
      <c r="H3" s="295"/>
      <c r="I3" s="301" t="s">
        <v>847</v>
      </c>
      <c r="J3" s="295"/>
      <c r="K3" s="295"/>
      <c r="L3" s="295"/>
      <c r="M3" s="295"/>
      <c r="N3" s="295"/>
      <c r="O3" s="295"/>
      <c r="P3" s="295"/>
      <c r="R3" s="303" t="s">
        <v>740</v>
      </c>
    </row>
    <row r="4" spans="1:41" ht="15.75">
      <c r="A4" s="301" t="s">
        <v>891</v>
      </c>
      <c r="B4" s="295"/>
      <c r="C4" s="295"/>
      <c r="D4" s="295"/>
      <c r="E4" s="295"/>
      <c r="F4" s="295"/>
      <c r="G4" s="295"/>
      <c r="H4" s="295"/>
      <c r="I4" s="301" t="s">
        <v>891</v>
      </c>
      <c r="J4" s="295"/>
      <c r="K4" s="295"/>
      <c r="L4" s="295"/>
      <c r="M4" s="295"/>
      <c r="N4" s="295"/>
      <c r="O4" s="295"/>
      <c r="P4" s="295"/>
      <c r="R4" s="303" t="s">
        <v>740</v>
      </c>
    </row>
    <row r="5" spans="1:41">
      <c r="A5" s="304"/>
      <c r="B5" s="305"/>
      <c r="C5" s="305"/>
      <c r="D5" s="305"/>
      <c r="E5" s="305"/>
      <c r="F5" s="305"/>
      <c r="G5" s="305"/>
      <c r="H5" s="305"/>
      <c r="I5" s="306"/>
      <c r="L5" s="307"/>
      <c r="P5" s="304"/>
    </row>
    <row r="6" spans="1:41" s="314" customFormat="1" ht="12">
      <c r="A6" s="309"/>
      <c r="B6" s="310" t="s">
        <v>848</v>
      </c>
      <c r="C6" s="310"/>
      <c r="D6" s="310"/>
      <c r="E6" s="310"/>
      <c r="F6" s="310"/>
      <c r="G6" s="310"/>
      <c r="H6" s="311"/>
      <c r="I6" s="309"/>
      <c r="J6" s="310" t="s">
        <v>848</v>
      </c>
      <c r="K6" s="310"/>
      <c r="L6" s="310"/>
      <c r="M6" s="310"/>
      <c r="N6" s="310"/>
      <c r="O6" s="310"/>
      <c r="P6" s="311"/>
      <c r="Q6" s="312"/>
      <c r="R6" s="313"/>
    </row>
    <row r="7" spans="1:41" s="314" customFormat="1" ht="12">
      <c r="A7" s="309"/>
      <c r="B7" s="310" t="s">
        <v>849</v>
      </c>
      <c r="C7" s="310"/>
      <c r="D7" s="450" t="s">
        <v>850</v>
      </c>
      <c r="E7" s="448"/>
      <c r="F7" s="448"/>
      <c r="G7" s="448"/>
      <c r="H7" s="317" t="s">
        <v>740</v>
      </c>
      <c r="I7" s="309"/>
      <c r="J7" s="310" t="s">
        <v>849</v>
      </c>
      <c r="K7" s="310"/>
      <c r="L7" s="450" t="s">
        <v>850</v>
      </c>
      <c r="M7" s="448"/>
      <c r="N7" s="448"/>
      <c r="O7" s="448"/>
      <c r="P7" s="317" t="s">
        <v>740</v>
      </c>
      <c r="Q7" s="312"/>
      <c r="R7" s="313"/>
    </row>
    <row r="8" spans="1:41" s="314" customFormat="1" ht="40.5" customHeight="1">
      <c r="A8" s="309"/>
      <c r="B8" s="318" t="s">
        <v>851</v>
      </c>
      <c r="C8" s="319" t="s">
        <v>852</v>
      </c>
      <c r="D8" s="320" t="s">
        <v>853</v>
      </c>
      <c r="E8" s="321" t="s">
        <v>8</v>
      </c>
      <c r="F8" s="318" t="s">
        <v>854</v>
      </c>
      <c r="G8" s="322" t="s">
        <v>855</v>
      </c>
      <c r="H8" s="323" t="s">
        <v>856</v>
      </c>
      <c r="I8" s="309"/>
      <c r="J8" s="318" t="s">
        <v>851</v>
      </c>
      <c r="K8" s="319" t="s">
        <v>852</v>
      </c>
      <c r="L8" s="320" t="s">
        <v>853</v>
      </c>
      <c r="M8" s="321" t="s">
        <v>8</v>
      </c>
      <c r="N8" s="318" t="s">
        <v>854</v>
      </c>
      <c r="O8" s="322" t="s">
        <v>855</v>
      </c>
      <c r="P8" s="323" t="s">
        <v>856</v>
      </c>
      <c r="Q8" s="324" t="s">
        <v>857</v>
      </c>
      <c r="R8" s="324" t="s">
        <v>857</v>
      </c>
      <c r="S8" s="325"/>
    </row>
    <row r="9" spans="1:41" ht="15.75" customHeight="1">
      <c r="A9" s="326" t="s">
        <v>825</v>
      </c>
      <c r="B9" s="327">
        <f>('Pivot Table for Data Exchange'!$J$6)*100</f>
        <v>84.904003238444972</v>
      </c>
      <c r="C9" s="327">
        <f>('Pivot Table for Data Exchange'!$J$9)*100</f>
        <v>0.19984497279239144</v>
      </c>
      <c r="D9" s="328">
        <f>SUM(E9:G9)</f>
        <v>14.896151788762639</v>
      </c>
      <c r="E9" s="327">
        <f>('Pivot Table for Data Exchange'!$J$12)*100</f>
        <v>14.817998725529554</v>
      </c>
      <c r="F9" s="327">
        <f>('Pivot Table for Data Exchange'!$J$15)*100</f>
        <v>7.815306323308463E-2</v>
      </c>
      <c r="G9" s="329">
        <f>('Pivot Table for Data Exchange'!$J$18)*100</f>
        <v>0</v>
      </c>
      <c r="H9" s="327">
        <f>('Pivot Table for Data Exchange'!$J$21)*100</f>
        <v>0</v>
      </c>
      <c r="I9" s="330" t="s">
        <v>825</v>
      </c>
      <c r="J9" s="327">
        <f>('Pivot Table for Data Exchange'!$J$24)*100</f>
        <v>61.513299345996927</v>
      </c>
      <c r="K9" s="327">
        <f>('Pivot Table for Data Exchange'!$J$27)*100</f>
        <v>1.0998461798476347</v>
      </c>
      <c r="L9" s="328">
        <f>SUM(M9:O9)</f>
        <v>37.386854474155435</v>
      </c>
      <c r="M9" s="327">
        <f>('Pivot Table for Data Exchange'!$J$30)*100</f>
        <v>37.316255516880638</v>
      </c>
      <c r="N9" s="327">
        <f>('Pivot Table for Data Exchange'!$J$33)*100</f>
        <v>7.0598957274794677E-2</v>
      </c>
      <c r="O9" s="331">
        <f>('Pivot Table for Data Exchange'!$J$36)*100</f>
        <v>0</v>
      </c>
      <c r="P9" s="327">
        <f>('Pivot Table for Data Exchange'!$J$39)*100</f>
        <v>0</v>
      </c>
      <c r="Q9" s="332">
        <f>SUM(B9,C9,D9,H9)</f>
        <v>100</v>
      </c>
      <c r="R9" s="332">
        <f>SUM(J9,K9,L9,P9)</f>
        <v>100</v>
      </c>
      <c r="S9" s="333"/>
      <c r="T9" s="314"/>
      <c r="U9" s="314"/>
      <c r="V9" s="314"/>
      <c r="W9" s="314"/>
      <c r="X9" s="314"/>
      <c r="Y9" s="314"/>
      <c r="Z9" s="314"/>
      <c r="AA9" s="314"/>
      <c r="AB9" s="314"/>
      <c r="AC9" s="314"/>
      <c r="AD9" s="314"/>
      <c r="AE9" s="314"/>
      <c r="AF9" s="314"/>
      <c r="AG9" s="333"/>
      <c r="AH9" s="333"/>
      <c r="AI9" s="333"/>
      <c r="AJ9" s="333"/>
      <c r="AK9" s="333"/>
      <c r="AL9" s="333"/>
      <c r="AM9" s="333"/>
      <c r="AN9" s="333"/>
      <c r="AO9" s="333"/>
    </row>
    <row r="10" spans="1:41" ht="15.75" customHeight="1">
      <c r="A10" s="298" t="s">
        <v>826</v>
      </c>
      <c r="B10" s="327">
        <f>('Pivot Table for Data Exchange'!$J$42)*100</f>
        <v>77.083711168038207</v>
      </c>
      <c r="C10" s="327">
        <f>('Pivot Table for Data Exchange'!$J$45)*100</f>
        <v>3.8624624999055412</v>
      </c>
      <c r="D10" s="328">
        <f t="shared" ref="D10:D26" si="0">SUM(E10:G10)</f>
        <v>18.886067723092502</v>
      </c>
      <c r="E10" s="327">
        <f>('Pivot Table for Data Exchange'!$J$48)*100</f>
        <v>18.652849251509448</v>
      </c>
      <c r="F10" s="327">
        <f>('Pivot Table for Data Exchange'!$J$51)*100</f>
        <v>0.1364455577973748</v>
      </c>
      <c r="G10" s="334">
        <f>('Pivot Table for Data Exchange'!$J$54)*100</f>
        <v>9.6772913785677039E-2</v>
      </c>
      <c r="H10" s="327">
        <f>('Pivot Table for Data Exchange'!$J$57)*100</f>
        <v>0.16775860896375053</v>
      </c>
      <c r="I10" s="333" t="s">
        <v>826</v>
      </c>
      <c r="J10" s="327">
        <f>('Pivot Table for Data Exchange'!$J$60)*100</f>
        <v>44.490416635592204</v>
      </c>
      <c r="K10" s="327">
        <f>('Pivot Table for Data Exchange'!$J$63)*100</f>
        <v>1.8754924626863252</v>
      </c>
      <c r="L10" s="328">
        <f t="shared" ref="L10:L26" si="1">SUM(M10:O10)</f>
        <v>53.634090901721478</v>
      </c>
      <c r="M10" s="327">
        <f>('Pivot Table for Data Exchange'!$J$66)*100</f>
        <v>51.889597566788481</v>
      </c>
      <c r="N10" s="327">
        <f>('Pivot Table for Data Exchange'!$J$69)*100</f>
        <v>1.5577223013044788</v>
      </c>
      <c r="O10" s="335">
        <f>('Pivot Table for Data Exchange'!$J$72)*100</f>
        <v>0.18677103362851372</v>
      </c>
      <c r="P10" s="336">
        <f>('Pivot Table for Data Exchange'!$J$75)*100</f>
        <v>0</v>
      </c>
      <c r="Q10" s="332">
        <f>SUM(B10,C10,D10,H10)</f>
        <v>100.00000000000001</v>
      </c>
      <c r="R10" s="332">
        <f t="shared" ref="R10:R74" si="2">SUM(J10,K10,L10,P10)</f>
        <v>100</v>
      </c>
      <c r="S10" s="333"/>
      <c r="T10" s="314"/>
      <c r="U10" s="314"/>
      <c r="V10" s="314"/>
      <c r="W10" s="314"/>
      <c r="X10" s="314"/>
      <c r="Y10" s="314"/>
      <c r="Z10" s="314"/>
      <c r="AA10" s="314"/>
      <c r="AB10" s="314"/>
      <c r="AC10" s="314"/>
      <c r="AD10" s="314"/>
      <c r="AE10" s="314"/>
      <c r="AF10" s="314"/>
      <c r="AG10" s="333"/>
      <c r="AH10" s="333"/>
      <c r="AI10" s="333"/>
      <c r="AJ10" s="333"/>
      <c r="AK10" s="333"/>
      <c r="AL10" s="333"/>
      <c r="AM10" s="333"/>
      <c r="AN10" s="333"/>
      <c r="AO10" s="333"/>
    </row>
    <row r="11" spans="1:41" ht="15.75" customHeight="1">
      <c r="A11" s="298" t="s">
        <v>827</v>
      </c>
      <c r="B11" s="327">
        <f>('Pivot Table for Data Exchange'!$J$78)*100</f>
        <v>96.072067944443035</v>
      </c>
      <c r="C11" s="327">
        <f>('Pivot Table for Data Exchange'!$J$81)*100</f>
        <v>0</v>
      </c>
      <c r="D11" s="328">
        <f t="shared" si="0"/>
        <v>3.9279320555569694</v>
      </c>
      <c r="E11" s="327">
        <f>('Pivot Table for Data Exchange'!$J$84)*100</f>
        <v>3.9279320555569694</v>
      </c>
      <c r="F11" s="327">
        <f>('Pivot Table for Data Exchange'!$J$87)*100</f>
        <v>0</v>
      </c>
      <c r="G11" s="335">
        <f>('Pivot Table for Data Exchange'!$J$90)*100</f>
        <v>0</v>
      </c>
      <c r="H11" s="327">
        <f>('Pivot Table for Data Exchange'!$J$93)*100</f>
        <v>0</v>
      </c>
      <c r="I11" s="333" t="s">
        <v>827</v>
      </c>
      <c r="J11" s="327">
        <f>('Pivot Table for Data Exchange'!$J$96)*100</f>
        <v>88.060383610162944</v>
      </c>
      <c r="K11" s="327">
        <f>('Pivot Table for Data Exchange'!$J$99)*100</f>
        <v>0</v>
      </c>
      <c r="L11" s="328">
        <f t="shared" si="1"/>
        <v>11.939616389837045</v>
      </c>
      <c r="M11" s="327">
        <f>('Pivot Table for Data Exchange'!$J$102)*100</f>
        <v>11.939616389837045</v>
      </c>
      <c r="N11" s="327">
        <f>('Pivot Table for Data Exchange'!$J$105)*100</f>
        <v>0</v>
      </c>
      <c r="O11" s="335">
        <f>('Pivot Table for Data Exchange'!$J$108)*100</f>
        <v>0</v>
      </c>
      <c r="P11" s="327">
        <f>('Pivot Table for Data Exchange'!$J$111)*100</f>
        <v>0</v>
      </c>
      <c r="Q11" s="332">
        <f t="shared" ref="Q11:Q74" si="3">SUM(B11,C11,D11,H11)</f>
        <v>100</v>
      </c>
      <c r="R11" s="332">
        <f t="shared" si="2"/>
        <v>99.999999999999986</v>
      </c>
      <c r="S11" s="333"/>
      <c r="T11" s="314"/>
      <c r="U11" s="314"/>
      <c r="V11" s="314"/>
      <c r="W11" s="314"/>
      <c r="X11" s="314"/>
      <c r="Y11" s="314"/>
      <c r="Z11" s="314"/>
      <c r="AA11" s="314"/>
      <c r="AB11" s="314"/>
      <c r="AC11" s="314"/>
      <c r="AD11" s="314"/>
      <c r="AE11" s="314"/>
      <c r="AF11" s="314"/>
      <c r="AG11" s="333"/>
      <c r="AH11" s="333"/>
      <c r="AI11" s="333"/>
      <c r="AJ11" s="333"/>
      <c r="AK11" s="333"/>
      <c r="AL11" s="333"/>
      <c r="AM11" s="333"/>
      <c r="AN11" s="333"/>
      <c r="AO11" s="333"/>
    </row>
    <row r="12" spans="1:41" ht="15.75" customHeight="1">
      <c r="A12" s="298" t="s">
        <v>858</v>
      </c>
      <c r="B12" s="327">
        <f>('Pivot Table for Data Exchange'!$J$114)*100</f>
        <v>0</v>
      </c>
      <c r="C12" s="327">
        <f>('Pivot Table for Data Exchange'!$J$117)*100</f>
        <v>0</v>
      </c>
      <c r="D12" s="328">
        <f t="shared" si="0"/>
        <v>0</v>
      </c>
      <c r="E12" s="327">
        <f>('Pivot Table for Data Exchange'!$J$120)*100</f>
        <v>0</v>
      </c>
      <c r="F12" s="327">
        <f>('Pivot Table for Data Exchange'!$J$123)*100</f>
        <v>0</v>
      </c>
      <c r="G12" s="337">
        <f>('Pivot Table for Data Exchange'!$J$126)*100</f>
        <v>0</v>
      </c>
      <c r="H12" s="327">
        <f>('Pivot Table for Data Exchange'!$J$129)*100</f>
        <v>0</v>
      </c>
      <c r="I12" s="333" t="s">
        <v>858</v>
      </c>
      <c r="J12" s="327">
        <f>('Pivot Table for Data Exchange'!$J$132)*100</f>
        <v>0</v>
      </c>
      <c r="K12" s="327">
        <f>('Pivot Table for Data Exchange'!$J$135)*100</f>
        <v>0</v>
      </c>
      <c r="L12" s="328">
        <f t="shared" si="1"/>
        <v>0</v>
      </c>
      <c r="M12" s="327">
        <f>('Pivot Table for Data Exchange'!$J$138)*100</f>
        <v>0</v>
      </c>
      <c r="N12" s="327">
        <f>('Pivot Table for Data Exchange'!$J$141)*100</f>
        <v>0</v>
      </c>
      <c r="O12" s="334">
        <f>('Pivot Table for Data Exchange'!$J$144)*100</f>
        <v>0</v>
      </c>
      <c r="P12" s="327">
        <f>('Pivot Table for Data Exchange'!$J$147)*100</f>
        <v>0</v>
      </c>
      <c r="Q12" s="332">
        <f t="shared" si="3"/>
        <v>0</v>
      </c>
      <c r="R12" s="332">
        <f t="shared" si="2"/>
        <v>0</v>
      </c>
      <c r="S12" s="333"/>
      <c r="T12" s="314"/>
      <c r="U12" s="314"/>
      <c r="V12" s="314"/>
      <c r="W12" s="314"/>
      <c r="X12" s="314"/>
      <c r="Y12" s="314"/>
      <c r="Z12" s="314"/>
      <c r="AA12" s="314"/>
      <c r="AB12" s="314"/>
      <c r="AC12" s="314"/>
      <c r="AD12" s="314"/>
      <c r="AE12" s="314"/>
      <c r="AF12" s="314"/>
      <c r="AG12" s="333"/>
      <c r="AH12" s="333"/>
      <c r="AI12" s="333"/>
      <c r="AJ12" s="333"/>
      <c r="AK12" s="333"/>
      <c r="AL12" s="333"/>
      <c r="AM12" s="333"/>
      <c r="AN12" s="333"/>
      <c r="AO12" s="333"/>
    </row>
    <row r="13" spans="1:41" ht="9.75" customHeight="1">
      <c r="B13" s="327"/>
      <c r="C13" s="327"/>
      <c r="D13" s="328"/>
      <c r="E13" s="327"/>
      <c r="F13" s="327"/>
      <c r="G13" s="335"/>
      <c r="H13" s="327"/>
      <c r="I13" s="333"/>
      <c r="J13" s="327"/>
      <c r="K13" s="327"/>
      <c r="L13" s="328"/>
      <c r="M13" s="327"/>
      <c r="N13" s="327"/>
      <c r="O13" s="335"/>
      <c r="P13" s="327"/>
      <c r="Q13" s="332">
        <f t="shared" si="3"/>
        <v>0</v>
      </c>
      <c r="R13" s="332">
        <f t="shared" si="2"/>
        <v>0</v>
      </c>
      <c r="S13" s="333"/>
      <c r="T13" s="314"/>
      <c r="U13" s="314"/>
      <c r="V13" s="314"/>
      <c r="W13" s="314"/>
      <c r="X13" s="314"/>
      <c r="Y13" s="314"/>
      <c r="Z13" s="314"/>
      <c r="AA13" s="314"/>
      <c r="AB13" s="314"/>
      <c r="AC13" s="314"/>
      <c r="AD13" s="314"/>
      <c r="AE13" s="314"/>
      <c r="AF13" s="314"/>
      <c r="AG13" s="333"/>
      <c r="AH13" s="333"/>
      <c r="AI13" s="333"/>
      <c r="AJ13" s="333"/>
      <c r="AK13" s="333"/>
      <c r="AL13" s="333"/>
      <c r="AM13" s="333"/>
      <c r="AN13" s="333"/>
      <c r="AO13" s="333"/>
    </row>
    <row r="14" spans="1:41" ht="15.75" customHeight="1">
      <c r="A14" s="298" t="s">
        <v>829</v>
      </c>
      <c r="B14" s="327">
        <f>('Pivot Table for Data Exchange'!$J$150)*100</f>
        <v>82.425096877257971</v>
      </c>
      <c r="C14" s="327">
        <f>('Pivot Table for Data Exchange'!$J$153)*100</f>
        <v>1.5834342352970612</v>
      </c>
      <c r="D14" s="328">
        <f t="shared" si="0"/>
        <v>15.991468887444965</v>
      </c>
      <c r="E14" s="327">
        <f>('Pivot Table for Data Exchange'!$J$156)*100</f>
        <v>15.93004063120528</v>
      </c>
      <c r="F14" s="327">
        <f>('Pivot Table for Data Exchange'!$J$159)*100</f>
        <v>4.4611683499666779E-2</v>
      </c>
      <c r="G14" s="335">
        <f>('Pivot Table for Data Exchange'!$J$162)*100</f>
        <v>1.681657274001715E-2</v>
      </c>
      <c r="H14" s="327">
        <f>('Pivot Table for Data Exchange'!$J$165)*100</f>
        <v>0</v>
      </c>
      <c r="I14" s="333" t="s">
        <v>829</v>
      </c>
      <c r="J14" s="327">
        <f>('Pivot Table for Data Exchange'!$J$168)*100</f>
        <v>66.805601564372523</v>
      </c>
      <c r="K14" s="327">
        <f>('Pivot Table for Data Exchange'!$J$171)*100</f>
        <v>12.341185968204206</v>
      </c>
      <c r="L14" s="328">
        <f t="shared" si="1"/>
        <v>20.853212467423269</v>
      </c>
      <c r="M14" s="327">
        <f>('Pivot Table for Data Exchange'!$J$174)*100</f>
        <v>20.843992410265891</v>
      </c>
      <c r="N14" s="327">
        <f>('Pivot Table for Data Exchange'!$J$177)*100</f>
        <v>1.6270689101260984E-3</v>
      </c>
      <c r="O14" s="335">
        <f>('Pivot Table for Data Exchange'!$J$180)*100</f>
        <v>7.5929882472551245E-3</v>
      </c>
      <c r="P14" s="327">
        <f>('Pivot Table for Data Exchange'!$J$183)*100</f>
        <v>0</v>
      </c>
      <c r="Q14" s="332">
        <f t="shared" si="3"/>
        <v>100</v>
      </c>
      <c r="R14" s="332">
        <f t="shared" si="2"/>
        <v>100</v>
      </c>
      <c r="S14" s="333"/>
      <c r="T14" s="314"/>
      <c r="U14" s="314"/>
      <c r="V14" s="314"/>
      <c r="W14" s="314"/>
      <c r="X14" s="314"/>
      <c r="Y14" s="314"/>
      <c r="Z14" s="314"/>
      <c r="AA14" s="314"/>
      <c r="AB14" s="314"/>
      <c r="AC14" s="314"/>
      <c r="AD14" s="314"/>
      <c r="AE14" s="314"/>
      <c r="AF14" s="314"/>
      <c r="AG14" s="333"/>
      <c r="AH14" s="333"/>
      <c r="AI14" s="333"/>
      <c r="AJ14" s="333"/>
      <c r="AK14" s="333"/>
      <c r="AL14" s="333"/>
      <c r="AM14" s="333"/>
      <c r="AN14" s="333"/>
      <c r="AO14" s="333"/>
    </row>
    <row r="15" spans="1:41" ht="15.75" customHeight="1">
      <c r="A15" s="298" t="s">
        <v>830</v>
      </c>
      <c r="B15" s="327">
        <f>('Pivot Table for Data Exchange'!$J$186)*100</f>
        <v>79.882528668073419</v>
      </c>
      <c r="C15" s="327">
        <f>('Pivot Table for Data Exchange'!$J$189)*100</f>
        <v>4.3863614378596951</v>
      </c>
      <c r="D15" s="328">
        <f t="shared" si="0"/>
        <v>15.731109894066885</v>
      </c>
      <c r="E15" s="327">
        <f>('Pivot Table for Data Exchange'!$J$192)*100</f>
        <v>14.809818040445183</v>
      </c>
      <c r="F15" s="327">
        <f>('Pivot Table for Data Exchange'!$J$195)*100</f>
        <v>0.85464458283111866</v>
      </c>
      <c r="G15" s="334">
        <f>('Pivot Table for Data Exchange'!$J$198)*100</f>
        <v>6.6647270790583024E-2</v>
      </c>
      <c r="H15" s="327">
        <f>('Pivot Table for Data Exchange'!$J$201)*100</f>
        <v>0</v>
      </c>
      <c r="I15" s="333" t="s">
        <v>830</v>
      </c>
      <c r="J15" s="327">
        <f>('Pivot Table for Data Exchange'!$J$204)*100</f>
        <v>60.622708902683733</v>
      </c>
      <c r="K15" s="327">
        <f>('Pivot Table for Data Exchange'!$J$207)*100</f>
        <v>3.5054767204164747</v>
      </c>
      <c r="L15" s="328">
        <f t="shared" si="1"/>
        <v>35.871814376899792</v>
      </c>
      <c r="M15" s="327">
        <f>('Pivot Table for Data Exchange'!$J$210)*100</f>
        <v>35.441690692862267</v>
      </c>
      <c r="N15" s="327">
        <f>('Pivot Table for Data Exchange'!$J$213)*100</f>
        <v>0.22664450308818787</v>
      </c>
      <c r="O15" s="334">
        <f>('Pivot Table for Data Exchange'!$J$216)*100</f>
        <v>0.20347918094933995</v>
      </c>
      <c r="P15" s="327">
        <f>('Pivot Table for Data Exchange'!$J$219)*100</f>
        <v>0</v>
      </c>
      <c r="Q15" s="332">
        <f t="shared" si="3"/>
        <v>100</v>
      </c>
      <c r="R15" s="332">
        <f t="shared" si="2"/>
        <v>100</v>
      </c>
      <c r="S15" s="333"/>
      <c r="T15" s="314"/>
      <c r="U15" s="314"/>
      <c r="V15" s="314"/>
      <c r="W15" s="314"/>
      <c r="X15" s="314"/>
      <c r="Y15" s="314"/>
      <c r="Z15" s="314"/>
      <c r="AA15" s="314"/>
      <c r="AB15" s="314"/>
      <c r="AC15" s="314"/>
      <c r="AD15" s="314"/>
      <c r="AE15" s="314"/>
      <c r="AF15" s="314"/>
      <c r="AG15" s="333"/>
      <c r="AH15" s="333"/>
      <c r="AI15" s="333"/>
      <c r="AJ15" s="333"/>
      <c r="AK15" s="333"/>
      <c r="AL15" s="333"/>
      <c r="AM15" s="333"/>
      <c r="AN15" s="333"/>
      <c r="AO15" s="333"/>
    </row>
    <row r="16" spans="1:41" ht="15.75" customHeight="1">
      <c r="A16" s="298" t="s">
        <v>831</v>
      </c>
      <c r="B16" s="327">
        <f>('Pivot Table for Data Exchange'!$J$222)*100</f>
        <v>84.326126611231771</v>
      </c>
      <c r="C16" s="327">
        <f>('Pivot Table for Data Exchange'!$J$225)*100</f>
        <v>0</v>
      </c>
      <c r="D16" s="328">
        <f t="shared" si="0"/>
        <v>15.67387338876825</v>
      </c>
      <c r="E16" s="327">
        <f>('Pivot Table for Data Exchange'!$J$228)*100</f>
        <v>15.67387338876825</v>
      </c>
      <c r="F16" s="327">
        <f>('Pivot Table for Data Exchange'!$J$231)*100</f>
        <v>0</v>
      </c>
      <c r="G16" s="335">
        <f>('Pivot Table for Data Exchange'!$J$234)*100</f>
        <v>0</v>
      </c>
      <c r="H16" s="327">
        <f>('Pivot Table for Data Exchange'!$J$237)*100</f>
        <v>0</v>
      </c>
      <c r="I16" s="333" t="s">
        <v>831</v>
      </c>
      <c r="J16" s="327">
        <f>('Pivot Table for Data Exchange'!$J$240)*100</f>
        <v>73.789683272098372</v>
      </c>
      <c r="K16" s="327">
        <f>('Pivot Table for Data Exchange'!$J$243)*100</f>
        <v>0</v>
      </c>
      <c r="L16" s="328">
        <f t="shared" si="1"/>
        <v>26.21031672790161</v>
      </c>
      <c r="M16" s="327">
        <f>('Pivot Table for Data Exchange'!$J$246)*100</f>
        <v>26.21031672790161</v>
      </c>
      <c r="N16" s="327">
        <f>('Pivot Table for Data Exchange'!$J$249)*100</f>
        <v>0</v>
      </c>
      <c r="O16" s="335">
        <f>('Pivot Table for Data Exchange'!$J$252)*100</f>
        <v>0</v>
      </c>
      <c r="P16" s="327">
        <f>('Pivot Table for Data Exchange'!$J$255)*100</f>
        <v>0</v>
      </c>
      <c r="Q16" s="332">
        <f t="shared" si="3"/>
        <v>100.00000000000003</v>
      </c>
      <c r="R16" s="332">
        <f t="shared" si="2"/>
        <v>99.999999999999986</v>
      </c>
      <c r="S16" s="333"/>
      <c r="T16" s="314"/>
      <c r="U16" s="314"/>
      <c r="V16" s="314"/>
      <c r="W16" s="314"/>
      <c r="X16" s="314"/>
      <c r="Y16" s="314"/>
      <c r="Z16" s="314"/>
      <c r="AA16" s="314"/>
      <c r="AB16" s="314"/>
      <c r="AC16" s="314"/>
      <c r="AD16" s="314"/>
      <c r="AE16" s="314"/>
      <c r="AF16" s="314"/>
      <c r="AG16" s="333"/>
      <c r="AH16" s="333"/>
      <c r="AI16" s="333"/>
      <c r="AJ16" s="333"/>
      <c r="AK16" s="333"/>
      <c r="AL16" s="333"/>
      <c r="AM16" s="333"/>
      <c r="AN16" s="333"/>
      <c r="AO16" s="333"/>
    </row>
    <row r="17" spans="1:41" ht="15.75" customHeight="1">
      <c r="A17" s="298" t="s">
        <v>832</v>
      </c>
      <c r="B17" s="327">
        <f>('Pivot Table for Data Exchange'!$J$258)*100</f>
        <v>67.657455109783996</v>
      </c>
      <c r="C17" s="327">
        <f>('Pivot Table for Data Exchange'!$J$261)*100</f>
        <v>2.8233656939148455</v>
      </c>
      <c r="D17" s="328">
        <f t="shared" si="0"/>
        <v>29.519179196301163</v>
      </c>
      <c r="E17" s="327">
        <f>('Pivot Table for Data Exchange'!$J$264)*100</f>
        <v>29.329600753372493</v>
      </c>
      <c r="F17" s="327">
        <f>('Pivot Table for Data Exchange'!$J$267)*100</f>
        <v>0.18957844292867237</v>
      </c>
      <c r="G17" s="335">
        <f>('Pivot Table for Data Exchange'!$J$270)*100</f>
        <v>0</v>
      </c>
      <c r="H17" s="327">
        <f>('Pivot Table for Data Exchange'!$J$273)*100</f>
        <v>0</v>
      </c>
      <c r="I17" s="333" t="s">
        <v>832</v>
      </c>
      <c r="J17" s="327">
        <f>('Pivot Table for Data Exchange'!$J$276)*100</f>
        <v>46.799255583324488</v>
      </c>
      <c r="K17" s="327">
        <f>('Pivot Table for Data Exchange'!$J$279)*100</f>
        <v>6.72894601862318</v>
      </c>
      <c r="L17" s="328">
        <f t="shared" si="1"/>
        <v>46.471798398052329</v>
      </c>
      <c r="M17" s="327">
        <f>('Pivot Table for Data Exchange'!$J$282)*100</f>
        <v>45.818319893363032</v>
      </c>
      <c r="N17" s="327">
        <f>('Pivot Table for Data Exchange'!$J$285)*100</f>
        <v>0.65347850468929858</v>
      </c>
      <c r="O17" s="335">
        <f>('Pivot Table for Data Exchange'!$J$288)*100</f>
        <v>0</v>
      </c>
      <c r="P17" s="327">
        <f>('Pivot Table for Data Exchange'!$J$291)*100</f>
        <v>0</v>
      </c>
      <c r="Q17" s="332">
        <f t="shared" si="3"/>
        <v>100.00000000000001</v>
      </c>
      <c r="R17" s="332">
        <f>SUM(J17,K17,L17,P17)</f>
        <v>100</v>
      </c>
      <c r="S17" s="333"/>
      <c r="T17" s="314"/>
      <c r="U17" s="314"/>
      <c r="V17" s="314"/>
      <c r="W17" s="314"/>
      <c r="X17" s="314"/>
      <c r="Y17" s="314"/>
      <c r="Z17" s="314"/>
      <c r="AA17" s="314"/>
      <c r="AB17" s="314"/>
      <c r="AC17" s="314"/>
      <c r="AD17" s="314"/>
      <c r="AE17" s="314"/>
      <c r="AF17" s="314"/>
      <c r="AG17" s="333"/>
      <c r="AH17" s="333"/>
      <c r="AI17" s="333"/>
      <c r="AJ17" s="333"/>
      <c r="AK17" s="333"/>
      <c r="AL17" s="333"/>
      <c r="AM17" s="333"/>
      <c r="AN17" s="333"/>
      <c r="AO17" s="333"/>
    </row>
    <row r="18" spans="1:41" ht="11.25" customHeight="1">
      <c r="B18" s="327"/>
      <c r="C18" s="327"/>
      <c r="D18" s="328"/>
      <c r="E18" s="327"/>
      <c r="F18" s="327"/>
      <c r="G18" s="335"/>
      <c r="H18" s="327"/>
      <c r="I18" s="333"/>
      <c r="J18" s="327"/>
      <c r="K18" s="327"/>
      <c r="L18" s="328"/>
      <c r="M18" s="327"/>
      <c r="N18" s="327"/>
      <c r="O18" s="335"/>
      <c r="P18" s="327"/>
      <c r="Q18" s="332">
        <f t="shared" si="3"/>
        <v>0</v>
      </c>
      <c r="R18" s="332">
        <f t="shared" si="2"/>
        <v>0</v>
      </c>
      <c r="S18" s="333"/>
      <c r="T18" s="314"/>
      <c r="U18" s="314"/>
      <c r="V18" s="314"/>
      <c r="W18" s="314"/>
      <c r="X18" s="314"/>
      <c r="Y18" s="314"/>
      <c r="Z18" s="314"/>
      <c r="AA18" s="314"/>
      <c r="AB18" s="314"/>
      <c r="AC18" s="314"/>
      <c r="AD18" s="314"/>
      <c r="AE18" s="314"/>
      <c r="AF18" s="314"/>
      <c r="AG18" s="333"/>
      <c r="AH18" s="333"/>
      <c r="AI18" s="333"/>
      <c r="AJ18" s="333"/>
      <c r="AK18" s="333"/>
      <c r="AL18" s="333"/>
      <c r="AM18" s="333"/>
      <c r="AN18" s="333"/>
      <c r="AO18" s="333"/>
    </row>
    <row r="19" spans="1:41" ht="15.75" customHeight="1">
      <c r="A19" s="298" t="s">
        <v>833</v>
      </c>
      <c r="B19" s="327">
        <f>('Pivot Table for Data Exchange'!$J$294)*100</f>
        <v>78.227890998610988</v>
      </c>
      <c r="C19" s="327">
        <f>('Pivot Table for Data Exchange'!$J$297)*100</f>
        <v>4.6962032557090385</v>
      </c>
      <c r="D19" s="328">
        <f t="shared" si="0"/>
        <v>16.892862500634067</v>
      </c>
      <c r="E19" s="327">
        <f>('Pivot Table for Data Exchange'!$J$300)*100</f>
        <v>15.975487746571446</v>
      </c>
      <c r="F19" s="327">
        <f>('Pivot Table for Data Exchange'!$J$303)*100</f>
        <v>0.91737475406262114</v>
      </c>
      <c r="G19" s="338">
        <f>('Pivot Table for Data Exchange'!$J$306)*100</f>
        <v>0</v>
      </c>
      <c r="H19" s="327">
        <f>('Pivot Table for Data Exchange'!$J$309)*100</f>
        <v>0.18304324504590652</v>
      </c>
      <c r="I19" s="333" t="s">
        <v>833</v>
      </c>
      <c r="J19" s="327">
        <f>('Pivot Table for Data Exchange'!$J$312)*100</f>
        <v>59.716093530649275</v>
      </c>
      <c r="K19" s="327">
        <f>('Pivot Table for Data Exchange'!$J$315)*100</f>
        <v>5.7143316854583412</v>
      </c>
      <c r="L19" s="328">
        <f t="shared" si="1"/>
        <v>34.501997160130813</v>
      </c>
      <c r="M19" s="327">
        <f>('Pivot Table for Data Exchange'!$J$318)*100</f>
        <v>33.682618472021659</v>
      </c>
      <c r="N19" s="327">
        <f>('Pivot Table for Data Exchange'!$J$321)*100</f>
        <v>0.80731125529458614</v>
      </c>
      <c r="O19" s="334">
        <f>('Pivot Table for Data Exchange'!$J$324)*100</f>
        <v>1.2067432814567805E-2</v>
      </c>
      <c r="P19" s="327">
        <f>('Pivot Table for Data Exchange'!$J$327)*100</f>
        <v>6.7577623761579705E-2</v>
      </c>
      <c r="Q19" s="332">
        <f t="shared" si="3"/>
        <v>100</v>
      </c>
      <c r="R19" s="332">
        <f t="shared" si="2"/>
        <v>100.00000000000001</v>
      </c>
      <c r="S19" s="333"/>
      <c r="T19" s="314"/>
      <c r="U19" s="314"/>
      <c r="V19" s="314"/>
      <c r="W19" s="314"/>
      <c r="X19" s="314"/>
      <c r="Y19" s="314"/>
      <c r="Z19" s="314"/>
      <c r="AA19" s="314"/>
      <c r="AB19" s="314"/>
      <c r="AC19" s="314"/>
      <c r="AD19" s="314"/>
      <c r="AE19" s="314"/>
      <c r="AF19" s="314"/>
      <c r="AG19" s="333"/>
      <c r="AH19" s="333"/>
      <c r="AI19" s="333"/>
      <c r="AJ19" s="333"/>
      <c r="AK19" s="333"/>
      <c r="AL19" s="333"/>
      <c r="AM19" s="333"/>
      <c r="AN19" s="333"/>
      <c r="AO19" s="333"/>
    </row>
    <row r="20" spans="1:41" ht="15.75" customHeight="1">
      <c r="A20" s="298" t="s">
        <v>834</v>
      </c>
      <c r="B20" s="327">
        <f>('Pivot Table for Data Exchange'!$J$330)*100</f>
        <v>83.916356183791436</v>
      </c>
      <c r="C20" s="327">
        <f>('Pivot Table for Data Exchange'!$J$333)*100</f>
        <v>0.4298414277757478</v>
      </c>
      <c r="D20" s="328">
        <f t="shared" si="0"/>
        <v>15.653802388432808</v>
      </c>
      <c r="E20" s="327">
        <f>('Pivot Table for Data Exchange'!$J$336)*100</f>
        <v>15.301790899729545</v>
      </c>
      <c r="F20" s="339">
        <f>('Pivot Table for Data Exchange'!$J$339)*100</f>
        <v>7.0896701323842848E-2</v>
      </c>
      <c r="G20" s="334">
        <f>('Pivot Table for Data Exchange'!$J$342)*100</f>
        <v>0.28111478737942153</v>
      </c>
      <c r="H20" s="327">
        <f>('Pivot Table for Data Exchange'!$J$345)*100</f>
        <v>0</v>
      </c>
      <c r="I20" s="333" t="s">
        <v>834</v>
      </c>
      <c r="J20" s="327">
        <f>('Pivot Table for Data Exchange'!$J$348)*100</f>
        <v>69.375290802536583</v>
      </c>
      <c r="K20" s="327">
        <f>('Pivot Table for Data Exchange'!$J$351)*100</f>
        <v>3.1768706771712818</v>
      </c>
      <c r="L20" s="328">
        <f t="shared" si="1"/>
        <v>27.447838520292137</v>
      </c>
      <c r="M20" s="327">
        <f>('Pivot Table for Data Exchange'!$J$354)*100</f>
        <v>26.799708282579033</v>
      </c>
      <c r="N20" s="339">
        <f>('Pivot Table for Data Exchange'!$J$357)*100</f>
        <v>6.456469800973437E-2</v>
      </c>
      <c r="O20" s="335">
        <f>('Pivot Table for Data Exchange'!$J$360)*100</f>
        <v>0.58356553970336833</v>
      </c>
      <c r="P20" s="327">
        <f>('Pivot Table for Data Exchange'!$J$363)*100</f>
        <v>0</v>
      </c>
      <c r="Q20" s="332">
        <f t="shared" si="3"/>
        <v>99.999999999999986</v>
      </c>
      <c r="R20" s="332">
        <f t="shared" si="2"/>
        <v>100</v>
      </c>
      <c r="S20" s="333"/>
      <c r="T20" s="314"/>
      <c r="U20" s="314"/>
      <c r="V20" s="314"/>
      <c r="W20" s="314"/>
      <c r="X20" s="314"/>
      <c r="Y20" s="314"/>
      <c r="Z20" s="314"/>
      <c r="AA20" s="314"/>
      <c r="AB20" s="314"/>
      <c r="AC20" s="314"/>
      <c r="AD20" s="314"/>
      <c r="AE20" s="314"/>
      <c r="AF20" s="314"/>
      <c r="AG20" s="333"/>
      <c r="AH20" s="333"/>
      <c r="AI20" s="333"/>
      <c r="AJ20" s="333"/>
      <c r="AK20" s="333"/>
      <c r="AL20" s="333"/>
      <c r="AM20" s="333"/>
      <c r="AN20" s="333"/>
      <c r="AO20" s="333"/>
    </row>
    <row r="21" spans="1:41" ht="15.75" customHeight="1">
      <c r="A21" s="298" t="s">
        <v>835</v>
      </c>
      <c r="B21" s="327">
        <f>('Pivot Table for Data Exchange'!$J$366)*100</f>
        <v>80.089068973699099</v>
      </c>
      <c r="C21" s="327">
        <f>('Pivot Table for Data Exchange'!$J$369)*100</f>
        <v>0.94867116001472029</v>
      </c>
      <c r="D21" s="328">
        <f t="shared" si="0"/>
        <v>18.943626012181191</v>
      </c>
      <c r="E21" s="327">
        <f>('Pivot Table for Data Exchange'!$J$372)*100</f>
        <v>17.522486902183303</v>
      </c>
      <c r="F21" s="327">
        <f>('Pivot Table for Data Exchange'!$J$375)*100</f>
        <v>1.0316533576804374</v>
      </c>
      <c r="G21" s="335">
        <f>('Pivot Table for Data Exchange'!$J$378)*100</f>
        <v>0.38948575231745297</v>
      </c>
      <c r="H21" s="327">
        <f>('Pivot Table for Data Exchange'!$J$381)*100</f>
        <v>1.8633854104987125E-2</v>
      </c>
      <c r="I21" s="333" t="s">
        <v>835</v>
      </c>
      <c r="J21" s="327">
        <f>('Pivot Table for Data Exchange'!$J$384)*100</f>
        <v>66.255263679175954</v>
      </c>
      <c r="K21" s="327">
        <f>('Pivot Table for Data Exchange'!$J$387)*100</f>
        <v>6.7288829817823981</v>
      </c>
      <c r="L21" s="328">
        <f t="shared" si="1"/>
        <v>27.015853339041644</v>
      </c>
      <c r="M21" s="327">
        <f>('Pivot Table for Data Exchange'!$J$390)*100</f>
        <v>24.172987341610384</v>
      </c>
      <c r="N21" s="327">
        <f>('Pivot Table for Data Exchange'!$J$393)*100</f>
        <v>0.70129139855716083</v>
      </c>
      <c r="O21" s="335">
        <f>('Pivot Table for Data Exchange'!$J$396)*100</f>
        <v>2.1415745988741</v>
      </c>
      <c r="P21" s="327">
        <f>('Pivot Table for Data Exchange'!$J$399)*100</f>
        <v>0</v>
      </c>
      <c r="Q21" s="332">
        <f t="shared" si="3"/>
        <v>100</v>
      </c>
      <c r="R21" s="332">
        <f t="shared" si="2"/>
        <v>99.999999999999986</v>
      </c>
      <c r="S21" s="333"/>
      <c r="T21" s="314"/>
      <c r="U21" s="314"/>
      <c r="V21" s="314"/>
      <c r="W21" s="314"/>
      <c r="X21" s="314"/>
      <c r="Y21" s="314"/>
      <c r="Z21" s="314"/>
      <c r="AA21" s="314"/>
      <c r="AB21" s="314"/>
      <c r="AC21" s="314"/>
      <c r="AD21" s="314"/>
      <c r="AE21" s="314"/>
      <c r="AF21" s="314"/>
      <c r="AG21" s="333"/>
      <c r="AH21" s="333"/>
      <c r="AI21" s="333"/>
      <c r="AJ21" s="333"/>
      <c r="AK21" s="333"/>
      <c r="AL21" s="333"/>
      <c r="AM21" s="333"/>
      <c r="AN21" s="333"/>
      <c r="AO21" s="333"/>
    </row>
    <row r="22" spans="1:41" ht="15.75" customHeight="1">
      <c r="A22" s="298" t="s">
        <v>836</v>
      </c>
      <c r="B22" s="327">
        <f>('Pivot Table for Data Exchange'!$J$402)*100</f>
        <v>84.79423357815368</v>
      </c>
      <c r="C22" s="327">
        <f>('Pivot Table for Data Exchange'!$J$405)*100</f>
        <v>5.442472909506801</v>
      </c>
      <c r="D22" s="328">
        <f>SUM(E22:G22)</f>
        <v>9.7632935123395193</v>
      </c>
      <c r="E22" s="327">
        <f>('Pivot Table for Data Exchange'!$J$408)*100</f>
        <v>9.7565370083871468</v>
      </c>
      <c r="F22" s="327">
        <f>('Pivot Table for Data Exchange'!$J$411)*100</f>
        <v>6.102648731175781E-3</v>
      </c>
      <c r="G22" s="334">
        <f>('Pivot Table for Data Exchange'!$J$414)*100</f>
        <v>6.5385522119740507E-4</v>
      </c>
      <c r="H22" s="327">
        <f>('Pivot Table for Data Exchange'!$J$417)*100</f>
        <v>0</v>
      </c>
      <c r="I22" s="333" t="s">
        <v>836</v>
      </c>
      <c r="J22" s="327">
        <f>('Pivot Table for Data Exchange'!$J$420)*100</f>
        <v>52.959451434455609</v>
      </c>
      <c r="K22" s="327">
        <f>('Pivot Table for Data Exchange'!$J$423)*100</f>
        <v>22.661677934220112</v>
      </c>
      <c r="L22" s="328">
        <f>SUM(M22:O22)</f>
        <v>24.37887063132429</v>
      </c>
      <c r="M22" s="327">
        <f>('Pivot Table for Data Exchange'!$J$426)*100</f>
        <v>22.466555697598565</v>
      </c>
      <c r="N22" s="327">
        <f>('Pivot Table for Data Exchange'!$J$429)*100</f>
        <v>1.9123149337257233</v>
      </c>
      <c r="O22" s="335">
        <f>('Pivot Table for Data Exchange'!$J$432)*100</f>
        <v>0</v>
      </c>
      <c r="P22" s="327">
        <f>('Pivot Table for Data Exchange'!$J$435)*100</f>
        <v>0</v>
      </c>
      <c r="Q22" s="332">
        <f t="shared" si="3"/>
        <v>100</v>
      </c>
      <c r="R22" s="332">
        <f t="shared" si="2"/>
        <v>100.00000000000001</v>
      </c>
      <c r="S22" s="333"/>
      <c r="T22" s="314"/>
      <c r="U22" s="314"/>
      <c r="V22" s="314"/>
      <c r="W22" s="314"/>
      <c r="X22" s="314"/>
      <c r="Y22" s="314"/>
      <c r="Z22" s="314"/>
      <c r="AA22" s="314"/>
      <c r="AB22" s="314"/>
      <c r="AC22" s="314"/>
      <c r="AD22" s="314"/>
      <c r="AE22" s="314"/>
      <c r="AF22" s="314"/>
      <c r="AG22" s="333"/>
      <c r="AH22" s="333"/>
      <c r="AI22" s="333"/>
      <c r="AJ22" s="333"/>
      <c r="AK22" s="333"/>
      <c r="AL22" s="333"/>
      <c r="AM22" s="333"/>
      <c r="AN22" s="333"/>
      <c r="AO22" s="333"/>
    </row>
    <row r="23" spans="1:41" ht="9.75" customHeight="1">
      <c r="B23" s="327"/>
      <c r="C23" s="327"/>
      <c r="D23" s="328"/>
      <c r="E23" s="327"/>
      <c r="F23" s="327"/>
      <c r="G23" s="335"/>
      <c r="H23" s="327"/>
      <c r="I23" s="333"/>
      <c r="J23" s="327"/>
      <c r="K23" s="327"/>
      <c r="L23" s="328"/>
      <c r="M23" s="327"/>
      <c r="N23" s="327"/>
      <c r="O23" s="335"/>
      <c r="P23" s="327"/>
      <c r="Q23" s="332">
        <f t="shared" si="3"/>
        <v>0</v>
      </c>
      <c r="R23" s="332">
        <f t="shared" si="2"/>
        <v>0</v>
      </c>
      <c r="S23" s="333"/>
      <c r="T23" s="314"/>
      <c r="U23" s="314"/>
      <c r="V23" s="314"/>
      <c r="W23" s="314"/>
      <c r="X23" s="314"/>
      <c r="Y23" s="314"/>
      <c r="Z23" s="314"/>
      <c r="AA23" s="314"/>
      <c r="AB23" s="314"/>
      <c r="AC23" s="314"/>
      <c r="AD23" s="314"/>
      <c r="AE23" s="314"/>
      <c r="AF23" s="314"/>
      <c r="AG23" s="333"/>
      <c r="AH23" s="333"/>
      <c r="AI23" s="333"/>
      <c r="AJ23" s="333"/>
      <c r="AK23" s="333"/>
      <c r="AL23" s="333"/>
      <c r="AM23" s="333"/>
      <c r="AN23" s="333"/>
      <c r="AO23" s="333"/>
    </row>
    <row r="24" spans="1:41" ht="15.75" customHeight="1">
      <c r="A24" s="298" t="s">
        <v>837</v>
      </c>
      <c r="B24" s="327">
        <f>('Pivot Table for Data Exchange'!$J$438)*100</f>
        <v>77.179566703933773</v>
      </c>
      <c r="C24" s="327">
        <f>('Pivot Table for Data Exchange'!$J$441)*100</f>
        <v>2.6238769928361845</v>
      </c>
      <c r="D24" s="328">
        <f>SUM(E24:G24)</f>
        <v>19.577721542302676</v>
      </c>
      <c r="E24" s="327">
        <f>('Pivot Table for Data Exchange'!$J$444)*100</f>
        <v>14.025849056731543</v>
      </c>
      <c r="F24" s="327">
        <f>('Pivot Table for Data Exchange'!$J$447)*100</f>
        <v>0.3684838158982669</v>
      </c>
      <c r="G24" s="335">
        <f>('Pivot Table for Data Exchange'!$J$450)*100</f>
        <v>5.1833886696728646</v>
      </c>
      <c r="H24" s="327">
        <f>('Pivot Table for Data Exchange'!$J$453)*100</f>
        <v>0.61883476092737522</v>
      </c>
      <c r="I24" s="333" t="s">
        <v>837</v>
      </c>
      <c r="J24" s="327">
        <f>('Pivot Table for Data Exchange'!$J$456)*100</f>
        <v>56.673647502534898</v>
      </c>
      <c r="K24" s="327">
        <f>('Pivot Table for Data Exchange'!$J$459)*100</f>
        <v>4.1802887728574998</v>
      </c>
      <c r="L24" s="328">
        <f>SUM(M24:O24)</f>
        <v>35.453169962821519</v>
      </c>
      <c r="M24" s="327">
        <f>('Pivot Table for Data Exchange'!$J$462)*100</f>
        <v>32.363597310009126</v>
      </c>
      <c r="N24" s="327">
        <f>('Pivot Table for Data Exchange'!$J$465)*100</f>
        <v>0.1402484672169208</v>
      </c>
      <c r="O24" s="335">
        <f>('Pivot Table for Data Exchange'!$J$468)*100</f>
        <v>2.9493241855954717</v>
      </c>
      <c r="P24" s="327">
        <f>('Pivot Table for Data Exchange'!$J$471)*100</f>
        <v>3.6928937617860833</v>
      </c>
      <c r="Q24" s="332">
        <f t="shared" si="3"/>
        <v>100</v>
      </c>
      <c r="R24" s="332">
        <f t="shared" si="2"/>
        <v>100</v>
      </c>
      <c r="S24" s="333"/>
      <c r="T24" s="314"/>
      <c r="U24" s="314"/>
      <c r="V24" s="314"/>
      <c r="W24" s="314"/>
      <c r="X24" s="314"/>
      <c r="Y24" s="314"/>
      <c r="Z24" s="314"/>
      <c r="AA24" s="314"/>
      <c r="AB24" s="314"/>
      <c r="AC24" s="314"/>
      <c r="AD24" s="314"/>
      <c r="AE24" s="314"/>
      <c r="AF24" s="314"/>
      <c r="AG24" s="333"/>
      <c r="AH24" s="333"/>
      <c r="AI24" s="333"/>
      <c r="AJ24" s="333"/>
      <c r="AK24" s="333"/>
      <c r="AL24" s="333"/>
      <c r="AM24" s="333"/>
      <c r="AN24" s="333"/>
      <c r="AO24" s="333"/>
    </row>
    <row r="25" spans="1:41" ht="15.75" customHeight="1">
      <c r="A25" s="298" t="s">
        <v>838</v>
      </c>
      <c r="B25" s="327">
        <f>('Pivot Table for Data Exchange'!$J$474)*100</f>
        <v>79.403158963382964</v>
      </c>
      <c r="C25" s="327">
        <f>('Pivot Table for Data Exchange'!$J$477)*100</f>
        <v>1.5937846813065815</v>
      </c>
      <c r="D25" s="328">
        <f>SUM(E25:G25)</f>
        <v>19.003056355310449</v>
      </c>
      <c r="E25" s="327">
        <f>('Pivot Table for Data Exchange'!$J$480)*100</f>
        <v>18.140568467700575</v>
      </c>
      <c r="F25" s="327">
        <f>('Pivot Table for Data Exchange'!$J$483)*100</f>
        <v>0.52292771564339957</v>
      </c>
      <c r="G25" s="335">
        <f>('Pivot Table for Data Exchange'!$J$486)*100</f>
        <v>0.3395601719664767</v>
      </c>
      <c r="H25" s="327">
        <f>('Pivot Table for Data Exchange'!$J$489)*100</f>
        <v>0</v>
      </c>
      <c r="I25" s="333" t="s">
        <v>838</v>
      </c>
      <c r="J25" s="327">
        <f>('Pivot Table for Data Exchange'!$J$492)*100</f>
        <v>61.378842648937649</v>
      </c>
      <c r="K25" s="327">
        <f>('Pivot Table for Data Exchange'!$J$495)*100</f>
        <v>2.3403406884179261</v>
      </c>
      <c r="L25" s="328">
        <f>SUM(M25:O25)</f>
        <v>36.280816662644419</v>
      </c>
      <c r="M25" s="327">
        <f>('Pivot Table for Data Exchange'!$J$498)*100</f>
        <v>35.182916966172492</v>
      </c>
      <c r="N25" s="327">
        <f>('Pivot Table for Data Exchange'!$J$501)*100</f>
        <v>0.37316047197793217</v>
      </c>
      <c r="O25" s="335">
        <f>('Pivot Table for Data Exchange'!$J$504)*100</f>
        <v>0.72473922449399741</v>
      </c>
      <c r="P25" s="327">
        <f>('Pivot Table for Data Exchange'!$J$507)*100</f>
        <v>0</v>
      </c>
      <c r="Q25" s="332">
        <f t="shared" si="3"/>
        <v>100</v>
      </c>
      <c r="R25" s="332">
        <f t="shared" si="2"/>
        <v>100</v>
      </c>
      <c r="S25" s="333"/>
      <c r="T25" s="314"/>
      <c r="U25" s="314"/>
      <c r="V25" s="314"/>
      <c r="W25" s="314"/>
      <c r="X25" s="314"/>
      <c r="Y25" s="314"/>
      <c r="Z25" s="314"/>
      <c r="AA25" s="314"/>
      <c r="AB25" s="314"/>
      <c r="AC25" s="314"/>
      <c r="AD25" s="314"/>
      <c r="AE25" s="314"/>
      <c r="AF25" s="314"/>
      <c r="AG25" s="333"/>
      <c r="AH25" s="333"/>
      <c r="AI25" s="333"/>
      <c r="AJ25" s="333"/>
      <c r="AK25" s="333"/>
      <c r="AL25" s="333"/>
      <c r="AM25" s="333"/>
      <c r="AN25" s="333"/>
      <c r="AO25" s="333"/>
    </row>
    <row r="26" spans="1:41" ht="15.75" customHeight="1">
      <c r="A26" s="298" t="s">
        <v>839</v>
      </c>
      <c r="B26" s="327">
        <f>('Pivot Table for Data Exchange'!$J$510)*100</f>
        <v>89.8961228758305</v>
      </c>
      <c r="C26" s="327">
        <f>('Pivot Table for Data Exchange'!$J$513)*100</f>
        <v>1.3771078911518444</v>
      </c>
      <c r="D26" s="328">
        <f t="shared" si="0"/>
        <v>8.7267692330176594</v>
      </c>
      <c r="E26" s="327">
        <f>('Pivot Table for Data Exchange'!$J$516)*100</f>
        <v>8.1066200930893206</v>
      </c>
      <c r="F26" s="327">
        <f>('Pivot Table for Data Exchange'!$J$519)*100</f>
        <v>0.61533197196628697</v>
      </c>
      <c r="G26" s="335">
        <f>('Pivot Table for Data Exchange'!$J$522)*100</f>
        <v>4.8171679620528001E-3</v>
      </c>
      <c r="H26" s="327">
        <f>('Pivot Table for Data Exchange'!$J$525)*100</f>
        <v>0</v>
      </c>
      <c r="I26" s="333" t="s">
        <v>839</v>
      </c>
      <c r="J26" s="327">
        <f>('Pivot Table for Data Exchange'!$J$528)*100</f>
        <v>77.669170969880497</v>
      </c>
      <c r="K26" s="327">
        <f>('Pivot Table for Data Exchange'!$J$531)*100</f>
        <v>7.8337148852821104</v>
      </c>
      <c r="L26" s="328">
        <f t="shared" si="1"/>
        <v>14.497114144837392</v>
      </c>
      <c r="M26" s="327">
        <f>('Pivot Table for Data Exchange'!$J$534)*100</f>
        <v>11.248112782386627</v>
      </c>
      <c r="N26" s="327">
        <f>('Pivot Table for Data Exchange'!$J$537)*100</f>
        <v>2.9830073563061053</v>
      </c>
      <c r="O26" s="335">
        <f>('Pivot Table for Data Exchange'!$J$540)*100</f>
        <v>0.26599400614465873</v>
      </c>
      <c r="P26" s="327">
        <f>('Pivot Table for Data Exchange'!$J$543)*100</f>
        <v>0</v>
      </c>
      <c r="Q26" s="332">
        <f t="shared" si="3"/>
        <v>100.00000000000001</v>
      </c>
      <c r="R26" s="332">
        <f t="shared" si="2"/>
        <v>100</v>
      </c>
      <c r="S26" s="333"/>
      <c r="T26" s="314"/>
      <c r="U26" s="314"/>
      <c r="V26" s="314"/>
      <c r="W26" s="314"/>
      <c r="X26" s="314"/>
      <c r="Y26" s="314"/>
      <c r="Z26" s="314"/>
      <c r="AA26" s="314"/>
      <c r="AB26" s="314"/>
      <c r="AC26" s="314"/>
      <c r="AD26" s="314"/>
      <c r="AE26" s="314"/>
      <c r="AF26" s="314"/>
      <c r="AG26" s="333"/>
      <c r="AH26" s="333"/>
      <c r="AI26" s="333"/>
      <c r="AJ26" s="333"/>
      <c r="AK26" s="333"/>
      <c r="AL26" s="333"/>
      <c r="AM26" s="333"/>
      <c r="AN26" s="333"/>
      <c r="AO26" s="333"/>
    </row>
    <row r="27" spans="1:41" ht="15.75" customHeight="1">
      <c r="A27" s="304" t="s">
        <v>840</v>
      </c>
      <c r="B27" s="340">
        <f>('Pivot Table for Data Exchange'!$J$546)*100</f>
        <v>81.26832813050919</v>
      </c>
      <c r="C27" s="340">
        <f>('Pivot Table for Data Exchange'!$J$549)*100</f>
        <v>4.0673758560293996</v>
      </c>
      <c r="D27" s="341">
        <f>SUM(E27:G27)</f>
        <v>14.66429601346141</v>
      </c>
      <c r="E27" s="340">
        <f>('Pivot Table for Data Exchange'!$J$552)*100</f>
        <v>13.897918583685204</v>
      </c>
      <c r="F27" s="340">
        <f>('Pivot Table for Data Exchange'!$J$555)*100</f>
        <v>0.46904247969751955</v>
      </c>
      <c r="G27" s="342">
        <f>('Pivot Table for Data Exchange'!$J$558)*100</f>
        <v>0.29733495007868732</v>
      </c>
      <c r="H27" s="340">
        <f>('Pivot Table for Data Exchange'!$J$561)*100</f>
        <v>0</v>
      </c>
      <c r="I27" s="343" t="s">
        <v>840</v>
      </c>
      <c r="J27" s="340">
        <f>('Pivot Table for Data Exchange'!$J$564)*100</f>
        <v>58.289307219920616</v>
      </c>
      <c r="K27" s="340">
        <f>('Pivot Table for Data Exchange'!$J$567)*100</f>
        <v>12.220707929044204</v>
      </c>
      <c r="L27" s="341">
        <f>SUM(M27:O27)</f>
        <v>29.489984851035182</v>
      </c>
      <c r="M27" s="340">
        <f>('Pivot Table for Data Exchange'!$J$570)*100</f>
        <v>28.864479206824097</v>
      </c>
      <c r="N27" s="340">
        <f>('Pivot Table for Data Exchange'!$J$573)*100</f>
        <v>0.38225344924010835</v>
      </c>
      <c r="O27" s="342">
        <f>('Pivot Table for Data Exchange'!$J$576)*100</f>
        <v>0.24325219497097805</v>
      </c>
      <c r="P27" s="340">
        <f>('Pivot Table for Data Exchange'!$J$579)*100</f>
        <v>0</v>
      </c>
      <c r="Q27" s="332">
        <f t="shared" si="3"/>
        <v>100</v>
      </c>
      <c r="R27" s="332">
        <f t="shared" si="2"/>
        <v>100</v>
      </c>
      <c r="S27" s="333"/>
      <c r="T27" s="314"/>
      <c r="U27" s="314"/>
      <c r="V27" s="314"/>
      <c r="W27" s="314"/>
      <c r="X27" s="314"/>
      <c r="Y27" s="314"/>
      <c r="Z27" s="314"/>
      <c r="AA27" s="314"/>
      <c r="AB27" s="314"/>
      <c r="AC27" s="314"/>
      <c r="AD27" s="314"/>
      <c r="AE27" s="314"/>
      <c r="AF27" s="314"/>
      <c r="AG27" s="333"/>
      <c r="AH27" s="333"/>
      <c r="AI27" s="333"/>
      <c r="AJ27" s="333"/>
      <c r="AK27" s="333"/>
      <c r="AL27" s="333"/>
      <c r="AM27" s="333"/>
      <c r="AN27" s="333"/>
      <c r="AO27" s="333"/>
    </row>
    <row r="28" spans="1:41" s="345" customFormat="1" ht="24" customHeight="1">
      <c r="A28" s="465" t="s">
        <v>859</v>
      </c>
      <c r="B28" s="466"/>
      <c r="C28" s="466"/>
      <c r="D28" s="466"/>
      <c r="E28" s="466"/>
      <c r="F28" s="466"/>
      <c r="G28" s="466"/>
      <c r="H28" s="466"/>
      <c r="I28" s="465" t="s">
        <v>859</v>
      </c>
      <c r="J28" s="466"/>
      <c r="K28" s="466"/>
      <c r="L28" s="466"/>
      <c r="M28" s="466"/>
      <c r="N28" s="466"/>
      <c r="O28" s="466"/>
      <c r="P28" s="466"/>
      <c r="Q28" s="332"/>
      <c r="R28" s="332"/>
    </row>
    <row r="29" spans="1:41" s="345" customFormat="1" ht="13.5" customHeight="1">
      <c r="A29" s="346" t="s">
        <v>860</v>
      </c>
      <c r="B29" s="347"/>
      <c r="C29" s="347"/>
      <c r="D29" s="348"/>
      <c r="E29" s="347"/>
      <c r="F29" s="348"/>
      <c r="G29" s="348"/>
      <c r="H29" s="347"/>
      <c r="I29" s="346" t="s">
        <v>860</v>
      </c>
      <c r="J29" s="347"/>
      <c r="K29" s="347"/>
      <c r="L29" s="348"/>
      <c r="M29" s="347"/>
      <c r="N29" s="348"/>
      <c r="O29" s="348"/>
      <c r="P29" s="347"/>
      <c r="Q29" s="332"/>
      <c r="R29" s="332"/>
      <c r="S29" s="349"/>
      <c r="T29" s="314"/>
      <c r="U29" s="314"/>
      <c r="V29" s="314"/>
      <c r="W29" s="314"/>
      <c r="X29" s="314"/>
      <c r="Y29" s="314"/>
      <c r="Z29" s="314"/>
      <c r="AA29" s="314"/>
      <c r="AB29" s="314"/>
      <c r="AC29" s="314"/>
      <c r="AD29" s="314"/>
      <c r="AE29" s="314"/>
      <c r="AF29" s="314"/>
      <c r="AG29" s="349"/>
      <c r="AH29" s="349"/>
      <c r="AI29" s="349"/>
      <c r="AJ29" s="349"/>
      <c r="AK29" s="349"/>
      <c r="AL29" s="349"/>
      <c r="AM29" s="349"/>
      <c r="AN29" s="349"/>
      <c r="AO29" s="349"/>
    </row>
    <row r="30" spans="1:41" s="345" customFormat="1" ht="23.25" customHeight="1">
      <c r="A30" s="455" t="s">
        <v>861</v>
      </c>
      <c r="B30" s="467"/>
      <c r="C30" s="467"/>
      <c r="D30" s="467"/>
      <c r="E30" s="467"/>
      <c r="F30" s="467"/>
      <c r="G30" s="467"/>
      <c r="H30" s="467"/>
      <c r="I30" s="455" t="s">
        <v>861</v>
      </c>
      <c r="J30" s="467"/>
      <c r="K30" s="467"/>
      <c r="L30" s="467"/>
      <c r="M30" s="467"/>
      <c r="N30" s="467"/>
      <c r="O30" s="467"/>
      <c r="P30" s="467"/>
      <c r="Q30" s="332"/>
      <c r="R30" s="332"/>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row>
    <row r="31" spans="1:41" s="345" customFormat="1" ht="13.5" customHeight="1">
      <c r="A31" s="344"/>
      <c r="B31" s="174"/>
      <c r="C31" s="174"/>
      <c r="D31" s="226"/>
      <c r="E31" s="174"/>
      <c r="F31" s="174"/>
      <c r="G31" s="174"/>
      <c r="H31" s="174"/>
      <c r="I31" s="344"/>
      <c r="J31" s="174"/>
      <c r="K31" s="174"/>
      <c r="L31" s="226"/>
      <c r="M31" s="174"/>
      <c r="N31" s="174"/>
      <c r="O31" s="174"/>
      <c r="P31" s="174"/>
      <c r="Q31" s="332"/>
      <c r="R31" s="332"/>
    </row>
    <row r="32" spans="1:41">
      <c r="H32" s="351" t="s">
        <v>980</v>
      </c>
      <c r="I32" s="298"/>
      <c r="P32" s="351" t="s">
        <v>980</v>
      </c>
      <c r="Q32" s="332"/>
      <c r="R32" s="332"/>
    </row>
    <row r="33" spans="1:41" ht="18">
      <c r="A33" s="293" t="s">
        <v>862</v>
      </c>
      <c r="B33" s="294"/>
      <c r="C33" s="294"/>
      <c r="D33" s="294"/>
      <c r="E33" s="294"/>
      <c r="F33" s="294"/>
      <c r="G33" s="294"/>
      <c r="H33" s="294"/>
      <c r="I33" s="293" t="s">
        <v>863</v>
      </c>
      <c r="J33" s="295"/>
      <c r="K33" s="295"/>
      <c r="L33" s="294"/>
      <c r="M33" s="295"/>
      <c r="N33" s="295"/>
      <c r="O33" s="295"/>
      <c r="P33" s="295"/>
      <c r="Q33" s="332"/>
      <c r="R33" s="332"/>
    </row>
    <row r="34" spans="1:41">
      <c r="A34" s="299"/>
      <c r="B34" s="295"/>
      <c r="C34" s="295"/>
      <c r="D34" s="295"/>
      <c r="E34" s="295"/>
      <c r="F34" s="295"/>
      <c r="G34" s="295"/>
      <c r="H34" s="295"/>
      <c r="I34" s="299"/>
      <c r="J34" s="295"/>
      <c r="K34" s="295"/>
      <c r="L34" s="295"/>
      <c r="M34" s="295"/>
      <c r="N34" s="295"/>
      <c r="O34" s="295"/>
      <c r="P34" s="295"/>
      <c r="Q34" s="332"/>
      <c r="R34" s="332"/>
    </row>
    <row r="35" spans="1:41" ht="15.75">
      <c r="A35" s="301" t="s">
        <v>846</v>
      </c>
      <c r="B35" s="295"/>
      <c r="C35" s="295"/>
      <c r="D35" s="295"/>
      <c r="E35" s="295"/>
      <c r="F35" s="295"/>
      <c r="G35" s="295"/>
      <c r="H35" s="295"/>
      <c r="I35" s="301" t="s">
        <v>847</v>
      </c>
      <c r="J35" s="295"/>
      <c r="K35" s="295"/>
      <c r="L35" s="295"/>
      <c r="M35" s="295"/>
      <c r="N35" s="295"/>
      <c r="O35" s="295"/>
      <c r="P35" s="295"/>
      <c r="Q35" s="332"/>
      <c r="R35" s="332"/>
    </row>
    <row r="36" spans="1:41" ht="15.75">
      <c r="A36" s="301" t="s">
        <v>892</v>
      </c>
      <c r="B36" s="295"/>
      <c r="C36" s="295"/>
      <c r="D36" s="295"/>
      <c r="E36" s="295"/>
      <c r="F36" s="295"/>
      <c r="G36" s="295"/>
      <c r="H36" s="295"/>
      <c r="I36" s="301" t="s">
        <v>892</v>
      </c>
      <c r="J36" s="295"/>
      <c r="K36" s="295"/>
      <c r="L36" s="295"/>
      <c r="M36" s="295"/>
      <c r="N36" s="295"/>
      <c r="O36" s="295"/>
      <c r="P36" s="295"/>
      <c r="Q36" s="332"/>
      <c r="R36" s="332"/>
    </row>
    <row r="37" spans="1:41">
      <c r="A37" s="304"/>
      <c r="B37" s="305"/>
      <c r="C37" s="305"/>
      <c r="D37" s="305"/>
      <c r="E37" s="305"/>
      <c r="F37" s="305"/>
      <c r="G37" s="305"/>
      <c r="H37" s="305"/>
      <c r="I37" s="306"/>
      <c r="L37" s="307"/>
      <c r="P37" s="304"/>
      <c r="Q37" s="332"/>
      <c r="R37" s="332"/>
    </row>
    <row r="38" spans="1:41" s="314" customFormat="1">
      <c r="A38" s="309"/>
      <c r="B38" s="310" t="s">
        <v>848</v>
      </c>
      <c r="C38" s="310"/>
      <c r="D38" s="310"/>
      <c r="E38" s="310"/>
      <c r="F38" s="310"/>
      <c r="G38" s="310"/>
      <c r="H38" s="311"/>
      <c r="I38" s="309"/>
      <c r="J38" s="310" t="s">
        <v>848</v>
      </c>
      <c r="K38" s="310"/>
      <c r="L38" s="310"/>
      <c r="M38" s="310"/>
      <c r="N38" s="310"/>
      <c r="O38" s="310"/>
      <c r="P38" s="311"/>
      <c r="Q38" s="332"/>
      <c r="R38" s="332"/>
    </row>
    <row r="39" spans="1:41" s="314" customFormat="1">
      <c r="A39" s="309"/>
      <c r="B39" s="310" t="s">
        <v>849</v>
      </c>
      <c r="C39" s="310"/>
      <c r="D39" s="450" t="s">
        <v>850</v>
      </c>
      <c r="E39" s="448"/>
      <c r="F39" s="448"/>
      <c r="G39" s="448"/>
      <c r="H39" s="317" t="s">
        <v>740</v>
      </c>
      <c r="I39" s="309"/>
      <c r="J39" s="310" t="s">
        <v>849</v>
      </c>
      <c r="K39" s="310"/>
      <c r="L39" s="450" t="s">
        <v>850</v>
      </c>
      <c r="M39" s="448"/>
      <c r="N39" s="448"/>
      <c r="O39" s="448"/>
      <c r="P39" s="317" t="s">
        <v>740</v>
      </c>
      <c r="Q39" s="332"/>
      <c r="R39" s="332"/>
    </row>
    <row r="40" spans="1:41" s="314" customFormat="1" ht="40.5" customHeight="1">
      <c r="A40" s="309"/>
      <c r="B40" s="318" t="s">
        <v>851</v>
      </c>
      <c r="C40" s="319" t="s">
        <v>852</v>
      </c>
      <c r="D40" s="320" t="s">
        <v>853</v>
      </c>
      <c r="E40" s="321" t="s">
        <v>8</v>
      </c>
      <c r="F40" s="318" t="s">
        <v>854</v>
      </c>
      <c r="G40" s="322" t="s">
        <v>864</v>
      </c>
      <c r="H40" s="323" t="s">
        <v>856</v>
      </c>
      <c r="I40" s="309"/>
      <c r="J40" s="318" t="s">
        <v>851</v>
      </c>
      <c r="K40" s="319" t="s">
        <v>852</v>
      </c>
      <c r="L40" s="320" t="s">
        <v>853</v>
      </c>
      <c r="M40" s="321" t="s">
        <v>8</v>
      </c>
      <c r="N40" s="318" t="s">
        <v>854</v>
      </c>
      <c r="O40" s="322" t="s">
        <v>864</v>
      </c>
      <c r="P40" s="323" t="s">
        <v>856</v>
      </c>
      <c r="Q40" s="332"/>
      <c r="R40" s="332"/>
      <c r="T40" s="352"/>
    </row>
    <row r="41" spans="1:41" ht="15.75" customHeight="1">
      <c r="A41" s="353" t="s">
        <v>825</v>
      </c>
      <c r="B41" s="327">
        <f>('Pivot Table for Data Exchange'!$C$6)*100</f>
        <v>88.434978120693714</v>
      </c>
      <c r="C41" s="339">
        <f>('Pivot Table for Data Exchange'!$C$9)*100</f>
        <v>2.6528267980328427E-2</v>
      </c>
      <c r="D41" s="328">
        <f>SUM(E41:G41)</f>
        <v>11.538493611325954</v>
      </c>
      <c r="E41" s="327">
        <f>('Pivot Table for Data Exchange'!$C$12)*100</f>
        <v>11.44170973384173</v>
      </c>
      <c r="F41" s="339">
        <f>('Pivot Table for Data Exchange'!$C$15)*100</f>
        <v>9.6783877484223763E-2</v>
      </c>
      <c r="G41" s="331">
        <f>('Pivot Table for Data Exchange'!$C$18)*100</f>
        <v>0</v>
      </c>
      <c r="H41" s="327">
        <f>('Pivot Table for Data Exchange'!$C$21)*100</f>
        <v>0</v>
      </c>
      <c r="I41" s="330" t="s">
        <v>825</v>
      </c>
      <c r="J41" s="327">
        <f>('Pivot Table for Data Exchange'!$C$24)*100</f>
        <v>72.71856240589743</v>
      </c>
      <c r="K41" s="327">
        <f>('Pivot Table for Data Exchange'!$C$27)*100</f>
        <v>1.7414598854148335</v>
      </c>
      <c r="L41" s="328">
        <f>SUM(M41:O41)</f>
        <v>25.539977708687744</v>
      </c>
      <c r="M41" s="327">
        <f>('Pivot Table for Data Exchange'!$C$30)*100</f>
        <v>25.410922743004633</v>
      </c>
      <c r="N41" s="327">
        <f>('Pivot Table for Data Exchange'!$C$33)*100</f>
        <v>0.12905496568311139</v>
      </c>
      <c r="O41" s="331">
        <f>('Pivot Table for Data Exchange'!$C$36)*100</f>
        <v>0</v>
      </c>
      <c r="P41" s="327">
        <f>('Pivot Table for Data Exchange'!$C$39)*100</f>
        <v>0</v>
      </c>
      <c r="Q41" s="332">
        <f t="shared" si="3"/>
        <v>100</v>
      </c>
      <c r="R41" s="332">
        <f t="shared" si="2"/>
        <v>100</v>
      </c>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row>
    <row r="42" spans="1:41" ht="15.75" customHeight="1">
      <c r="A42" s="298" t="s">
        <v>826</v>
      </c>
      <c r="B42" s="327">
        <f>('Pivot Table for Data Exchange'!$C$42)*100</f>
        <v>89.366472606011669</v>
      </c>
      <c r="C42" s="327">
        <f>('Pivot Table for Data Exchange'!$C$45)*100</f>
        <v>1.4300287546730195</v>
      </c>
      <c r="D42" s="328">
        <f t="shared" ref="D42:D44" si="4">SUM(E42:G42)</f>
        <v>8.6561428056301217</v>
      </c>
      <c r="E42" s="327">
        <f>('Pivot Table for Data Exchange'!$C$48)*100</f>
        <v>8.5992806708807308</v>
      </c>
      <c r="F42" s="327">
        <f>('Pivot Table for Data Exchange'!$C$51)*100</f>
        <v>5.2701490743337576E-2</v>
      </c>
      <c r="G42" s="338">
        <f>('Pivot Table for Data Exchange'!$C$54)*100</f>
        <v>4.1606440060529661E-3</v>
      </c>
      <c r="H42" s="327">
        <f>('Pivot Table for Data Exchange'!$C$57)*100</f>
        <v>0.54735583368519025</v>
      </c>
      <c r="I42" s="333" t="s">
        <v>826</v>
      </c>
      <c r="J42" s="327">
        <f>('Pivot Table for Data Exchange'!$C$60)*100</f>
        <v>68.309004715624098</v>
      </c>
      <c r="K42" s="327">
        <f>('Pivot Table for Data Exchange'!$C$63)*100</f>
        <v>1.2833502195204323</v>
      </c>
      <c r="L42" s="328">
        <f t="shared" ref="L42:L44" si="5">SUM(M42:O42)</f>
        <v>30.407645064855469</v>
      </c>
      <c r="M42" s="327">
        <f>('Pivot Table for Data Exchange'!$C$66)*100</f>
        <v>30.396387606789499</v>
      </c>
      <c r="N42" s="327">
        <f>('Pivot Table for Data Exchange'!$C$69)*100</f>
        <v>1.1257458065968704E-2</v>
      </c>
      <c r="O42" s="335">
        <f>('Pivot Table for Data Exchange'!$C$72)*100</f>
        <v>0</v>
      </c>
      <c r="P42" s="339">
        <f>('Pivot Table for Data Exchange'!$C$75)*100</f>
        <v>0</v>
      </c>
      <c r="Q42" s="332">
        <f t="shared" si="3"/>
        <v>100</v>
      </c>
      <c r="R42" s="332">
        <f t="shared" si="2"/>
        <v>100</v>
      </c>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row>
    <row r="43" spans="1:41" ht="15.75" customHeight="1">
      <c r="A43" s="298" t="s">
        <v>827</v>
      </c>
      <c r="B43" s="327">
        <f>('Pivot Table for Data Exchange'!$C$78)*100</f>
        <v>96.399075104907084</v>
      </c>
      <c r="C43" s="327">
        <f>('Pivot Table for Data Exchange'!$C$81)*100</f>
        <v>0</v>
      </c>
      <c r="D43" s="328">
        <f t="shared" si="4"/>
        <v>3.6009248950929176</v>
      </c>
      <c r="E43" s="327">
        <f>('Pivot Table for Data Exchange'!$C$84)*100</f>
        <v>3.6009248950929176</v>
      </c>
      <c r="F43" s="327">
        <f>('Pivot Table for Data Exchange'!$C$87)*100</f>
        <v>0</v>
      </c>
      <c r="G43" s="335">
        <f>('Pivot Table for Data Exchange'!$C$90)*100</f>
        <v>0</v>
      </c>
      <c r="H43" s="327">
        <f>('Pivot Table for Data Exchange'!$C$93)*100</f>
        <v>0</v>
      </c>
      <c r="I43" s="333" t="s">
        <v>827</v>
      </c>
      <c r="J43" s="327">
        <f>('Pivot Table for Data Exchange'!$C$96)*100</f>
        <v>88.135487977149594</v>
      </c>
      <c r="K43" s="327">
        <f>('Pivot Table for Data Exchange'!$C$99)*100</f>
        <v>0</v>
      </c>
      <c r="L43" s="328">
        <f t="shared" si="5"/>
        <v>11.864512022850402</v>
      </c>
      <c r="M43" s="327">
        <f>('Pivot Table for Data Exchange'!$C$102)*100</f>
        <v>11.864512022850402</v>
      </c>
      <c r="N43" s="327">
        <f>('Pivot Table for Data Exchange'!$C$105)*100</f>
        <v>0</v>
      </c>
      <c r="O43" s="335">
        <f>('Pivot Table for Data Exchange'!$C$108)*100</f>
        <v>0</v>
      </c>
      <c r="P43" s="327">
        <f>('Pivot Table for Data Exchange'!$C$111)*100</f>
        <v>0</v>
      </c>
      <c r="Q43" s="332">
        <f t="shared" si="3"/>
        <v>100</v>
      </c>
      <c r="R43" s="332">
        <f t="shared" si="2"/>
        <v>100</v>
      </c>
      <c r="S43" s="333"/>
      <c r="T43" s="307"/>
      <c r="U43" s="333"/>
      <c r="V43" s="333"/>
      <c r="W43" s="333"/>
      <c r="X43" s="333"/>
      <c r="Y43" s="333"/>
      <c r="Z43" s="333"/>
      <c r="AA43" s="333"/>
      <c r="AB43" s="333"/>
      <c r="AC43" s="333"/>
      <c r="AD43" s="333"/>
      <c r="AE43" s="333"/>
      <c r="AF43" s="333"/>
      <c r="AG43" s="333"/>
      <c r="AH43" s="333"/>
      <c r="AI43" s="333"/>
      <c r="AJ43" s="333"/>
      <c r="AK43" s="333"/>
      <c r="AL43" s="333"/>
      <c r="AM43" s="333"/>
      <c r="AN43" s="333"/>
      <c r="AO43" s="333"/>
    </row>
    <row r="44" spans="1:41" ht="15.75" customHeight="1">
      <c r="A44" s="298" t="s">
        <v>865</v>
      </c>
      <c r="B44" s="327">
        <f>('Pivot Table for Data Exchange'!$C$114)*100</f>
        <v>0</v>
      </c>
      <c r="C44" s="327">
        <f>('Pivot Table for Data Exchange'!$C$117)*100</f>
        <v>0</v>
      </c>
      <c r="D44" s="328">
        <f t="shared" si="4"/>
        <v>0</v>
      </c>
      <c r="E44" s="327">
        <f>('Pivot Table for Data Exchange'!$C$120)*100</f>
        <v>0</v>
      </c>
      <c r="F44" s="327">
        <f>('Pivot Table for Data Exchange'!$C$123)*100</f>
        <v>0</v>
      </c>
      <c r="G44" s="338">
        <f>('Pivot Table for Data Exchange'!$C$126)*100</f>
        <v>0</v>
      </c>
      <c r="H44" s="327">
        <f>('Pivot Table for Data Exchange'!$C$129)*100</f>
        <v>0</v>
      </c>
      <c r="I44" s="333" t="s">
        <v>865</v>
      </c>
      <c r="J44" s="327">
        <f>('Pivot Table for Data Exchange'!$C$132)*100</f>
        <v>0</v>
      </c>
      <c r="K44" s="327">
        <f>('Pivot Table for Data Exchange'!$C$135)*100</f>
        <v>0</v>
      </c>
      <c r="L44" s="328">
        <f t="shared" si="5"/>
        <v>0</v>
      </c>
      <c r="M44" s="327">
        <f>('Pivot Table for Data Exchange'!$C$138)*100</f>
        <v>0</v>
      </c>
      <c r="N44" s="327">
        <f>('Pivot Table for Data Exchange'!$C$141)*100</f>
        <v>0</v>
      </c>
      <c r="O44" s="334">
        <f>('Pivot Table for Data Exchange'!$C$144)*100</f>
        <v>0</v>
      </c>
      <c r="P44" s="327">
        <f>('Pivot Table for Data Exchange'!$C$147)*100</f>
        <v>0</v>
      </c>
      <c r="Q44" s="332">
        <f t="shared" si="3"/>
        <v>0</v>
      </c>
      <c r="R44" s="332">
        <f t="shared" si="2"/>
        <v>0</v>
      </c>
      <c r="S44" s="333"/>
      <c r="U44" s="333"/>
      <c r="V44" s="333"/>
      <c r="W44" s="333"/>
      <c r="X44" s="333"/>
      <c r="Y44" s="333"/>
      <c r="Z44" s="333"/>
      <c r="AA44" s="333"/>
      <c r="AB44" s="333"/>
      <c r="AC44" s="333"/>
      <c r="AD44" s="333"/>
      <c r="AE44" s="333"/>
      <c r="AF44" s="333"/>
      <c r="AG44" s="333"/>
      <c r="AH44" s="333"/>
      <c r="AI44" s="333"/>
      <c r="AJ44" s="333"/>
      <c r="AK44" s="333"/>
      <c r="AL44" s="333"/>
      <c r="AM44" s="333"/>
      <c r="AN44" s="333"/>
      <c r="AO44" s="333"/>
    </row>
    <row r="45" spans="1:41" ht="10.5" customHeight="1">
      <c r="B45" s="327"/>
      <c r="C45" s="327"/>
      <c r="D45" s="328"/>
      <c r="E45" s="327"/>
      <c r="F45" s="327"/>
      <c r="G45" s="335"/>
      <c r="H45" s="327"/>
      <c r="I45" s="333"/>
      <c r="J45" s="327"/>
      <c r="K45" s="327"/>
      <c r="L45" s="328"/>
      <c r="M45" s="327"/>
      <c r="N45" s="327"/>
      <c r="O45" s="335"/>
      <c r="P45" s="327"/>
      <c r="Q45" s="332">
        <f t="shared" si="3"/>
        <v>0</v>
      </c>
      <c r="R45" s="332">
        <f t="shared" si="2"/>
        <v>0</v>
      </c>
      <c r="S45" s="333"/>
      <c r="U45" s="333"/>
      <c r="V45" s="333"/>
      <c r="W45" s="333"/>
      <c r="X45" s="333"/>
      <c r="Y45" s="333"/>
      <c r="Z45" s="333"/>
      <c r="AA45" s="333"/>
      <c r="AB45" s="333"/>
      <c r="AC45" s="333"/>
      <c r="AD45" s="333"/>
      <c r="AE45" s="333"/>
      <c r="AF45" s="333"/>
      <c r="AG45" s="333"/>
      <c r="AH45" s="333"/>
      <c r="AI45" s="333"/>
      <c r="AJ45" s="333"/>
      <c r="AK45" s="333"/>
      <c r="AL45" s="333"/>
      <c r="AM45" s="333"/>
      <c r="AN45" s="333"/>
      <c r="AO45" s="333"/>
    </row>
    <row r="46" spans="1:41" ht="15.75" customHeight="1">
      <c r="A46" s="298" t="s">
        <v>829</v>
      </c>
      <c r="B46" s="327">
        <f>('Pivot Table for Data Exchange'!$C$150)*100</f>
        <v>85.857848517535501</v>
      </c>
      <c r="C46" s="327">
        <f>('Pivot Table for Data Exchange'!$C$153)*100</f>
        <v>1.6631183587386578</v>
      </c>
      <c r="D46" s="328">
        <f t="shared" ref="D46:D49" si="6">SUM(E46:G46)</f>
        <v>12.479033123725838</v>
      </c>
      <c r="E46" s="327">
        <f>('Pivot Table for Data Exchange'!$C$156)*100</f>
        <v>12.479033123725838</v>
      </c>
      <c r="F46" s="327">
        <f>('Pivot Table for Data Exchange'!$C$159)*100</f>
        <v>0</v>
      </c>
      <c r="G46" s="335">
        <f>('Pivot Table for Data Exchange'!$C$162)*100</f>
        <v>0</v>
      </c>
      <c r="H46" s="327">
        <f>('Pivot Table for Data Exchange'!$C$165)*100</f>
        <v>0</v>
      </c>
      <c r="I46" s="333" t="s">
        <v>829</v>
      </c>
      <c r="J46" s="327">
        <f>('Pivot Table for Data Exchange'!$C$168)*100</f>
        <v>68.347502626153613</v>
      </c>
      <c r="K46" s="327">
        <f>('Pivot Table for Data Exchange'!$C$171)*100</f>
        <v>26.46009241515117</v>
      </c>
      <c r="L46" s="328">
        <f t="shared" ref="L46:L49" si="7">SUM(M46:O46)</f>
        <v>5.1924049586952172</v>
      </c>
      <c r="M46" s="327">
        <f>('Pivot Table for Data Exchange'!$C$174)*100</f>
        <v>5.1924049586952172</v>
      </c>
      <c r="N46" s="327">
        <f>('Pivot Table for Data Exchange'!$C$177)*100</f>
        <v>0</v>
      </c>
      <c r="O46" s="335">
        <f>('Pivot Table for Data Exchange'!$C$180)*100</f>
        <v>0</v>
      </c>
      <c r="P46" s="327">
        <f>('Pivot Table for Data Exchange'!$C$183)*100</f>
        <v>0</v>
      </c>
      <c r="Q46" s="332">
        <f t="shared" si="3"/>
        <v>100</v>
      </c>
      <c r="R46" s="332">
        <f t="shared" si="2"/>
        <v>100</v>
      </c>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row>
    <row r="47" spans="1:41" ht="15.75" customHeight="1">
      <c r="A47" s="298" t="s">
        <v>830</v>
      </c>
      <c r="B47" s="327">
        <f>('Pivot Table for Data Exchange'!$C$186)*100</f>
        <v>88.791282984885825</v>
      </c>
      <c r="C47" s="327">
        <f>('Pivot Table for Data Exchange'!$C$189)*100</f>
        <v>1.8373136695357981</v>
      </c>
      <c r="D47" s="328">
        <f t="shared" si="6"/>
        <v>9.3714033455783827</v>
      </c>
      <c r="E47" s="327">
        <f>('Pivot Table for Data Exchange'!$C$192)*100</f>
        <v>9.2383184374069689</v>
      </c>
      <c r="F47" s="327">
        <f>('Pivot Table for Data Exchange'!$C$195)*100</f>
        <v>1.6693577331605858E-2</v>
      </c>
      <c r="G47" s="337">
        <f>('Pivot Table for Data Exchange'!$C$198)*100</f>
        <v>0.1163913308398075</v>
      </c>
      <c r="H47" s="327">
        <f>('Pivot Table for Data Exchange'!$C$201)*100</f>
        <v>0</v>
      </c>
      <c r="I47" s="333" t="s">
        <v>830</v>
      </c>
      <c r="J47" s="327">
        <f>('Pivot Table for Data Exchange'!$C$204)*100</f>
        <v>74.473390398213624</v>
      </c>
      <c r="K47" s="327">
        <f>('Pivot Table for Data Exchange'!$C$207)*100</f>
        <v>4.2010916759707229</v>
      </c>
      <c r="L47" s="328">
        <f t="shared" si="7"/>
        <v>21.325517925815657</v>
      </c>
      <c r="M47" s="327">
        <f>('Pivot Table for Data Exchange'!$C$210)*100</f>
        <v>21.143158417069845</v>
      </c>
      <c r="N47" s="327">
        <f>('Pivot Table for Data Exchange'!$C$213)*100</f>
        <v>0</v>
      </c>
      <c r="O47" s="338">
        <f>('Pivot Table for Data Exchange'!$C$216)*100</f>
        <v>0.18235950874581319</v>
      </c>
      <c r="P47" s="327">
        <f>('Pivot Table for Data Exchange'!$C$219)*100</f>
        <v>0</v>
      </c>
      <c r="Q47" s="332">
        <f t="shared" si="3"/>
        <v>100.00000000000001</v>
      </c>
      <c r="R47" s="332">
        <f t="shared" si="2"/>
        <v>100</v>
      </c>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row>
    <row r="48" spans="1:41" ht="15.75" customHeight="1">
      <c r="A48" s="298" t="s">
        <v>831</v>
      </c>
      <c r="B48" s="327">
        <f>('Pivot Table for Data Exchange'!$C$222)*100</f>
        <v>96.910112359550567</v>
      </c>
      <c r="C48" s="327">
        <f>('Pivot Table for Data Exchange'!$C$225)*100</f>
        <v>0</v>
      </c>
      <c r="D48" s="328">
        <f t="shared" si="6"/>
        <v>3.089887640449438</v>
      </c>
      <c r="E48" s="327">
        <f>('Pivot Table for Data Exchange'!$C$228)*100</f>
        <v>3.089887640449438</v>
      </c>
      <c r="F48" s="327">
        <f>('Pivot Table for Data Exchange'!$C$231)*100</f>
        <v>0</v>
      </c>
      <c r="G48" s="335">
        <f>('Pivot Table for Data Exchange'!$C$234)*100</f>
        <v>0</v>
      </c>
      <c r="H48" s="327">
        <f>('Pivot Table for Data Exchange'!$C$237)*100</f>
        <v>0</v>
      </c>
      <c r="I48" s="333" t="s">
        <v>831</v>
      </c>
      <c r="J48" s="327">
        <f>('Pivot Table for Data Exchange'!$C$240)*100</f>
        <v>95.658944909480226</v>
      </c>
      <c r="K48" s="327">
        <f>('Pivot Table for Data Exchange'!$C$243)*100</f>
        <v>0</v>
      </c>
      <c r="L48" s="328">
        <f t="shared" si="7"/>
        <v>4.3410550905197773</v>
      </c>
      <c r="M48" s="327">
        <f>('Pivot Table for Data Exchange'!$C$246)*100</f>
        <v>4.3410550905197773</v>
      </c>
      <c r="N48" s="327">
        <f>('Pivot Table for Data Exchange'!$C$249)*100</f>
        <v>0</v>
      </c>
      <c r="O48" s="335">
        <f>('Pivot Table for Data Exchange'!$C$252)*100</f>
        <v>0</v>
      </c>
      <c r="P48" s="327">
        <f>('Pivot Table for Data Exchange'!$C$255)*100</f>
        <v>0</v>
      </c>
      <c r="Q48" s="332">
        <f t="shared" si="3"/>
        <v>100</v>
      </c>
      <c r="R48" s="332">
        <f t="shared" si="2"/>
        <v>100</v>
      </c>
      <c r="S48" s="333"/>
      <c r="T48" s="307"/>
      <c r="U48" s="333"/>
      <c r="V48" s="333"/>
      <c r="W48" s="333"/>
      <c r="X48" s="333"/>
      <c r="Y48" s="333"/>
      <c r="Z48" s="333"/>
      <c r="AA48" s="333"/>
      <c r="AB48" s="333"/>
      <c r="AC48" s="333"/>
      <c r="AD48" s="333"/>
      <c r="AE48" s="333"/>
      <c r="AF48" s="333"/>
      <c r="AG48" s="333"/>
      <c r="AH48" s="333"/>
      <c r="AI48" s="333"/>
      <c r="AJ48" s="333"/>
      <c r="AK48" s="333"/>
      <c r="AL48" s="333"/>
      <c r="AM48" s="333"/>
      <c r="AN48" s="333"/>
      <c r="AO48" s="333"/>
    </row>
    <row r="49" spans="1:41" ht="15.75" customHeight="1">
      <c r="A49" s="298" t="s">
        <v>832</v>
      </c>
      <c r="B49" s="327">
        <f>('Pivot Table for Data Exchange'!$C$258)*100</f>
        <v>93.844161172161165</v>
      </c>
      <c r="C49" s="327">
        <f>('Pivot Table for Data Exchange'!$C$261)*100</f>
        <v>1.9421538461538463</v>
      </c>
      <c r="D49" s="328">
        <f t="shared" si="6"/>
        <v>4.2136849816849811</v>
      </c>
      <c r="E49" s="327">
        <f>('Pivot Table for Data Exchange'!$C$264)*100</f>
        <v>4.1215531135531132</v>
      </c>
      <c r="F49" s="327">
        <f>('Pivot Table for Data Exchange'!$C$267)*100</f>
        <v>9.2131868131868133E-2</v>
      </c>
      <c r="G49" s="335">
        <f>('Pivot Table for Data Exchange'!$C$270)*100</f>
        <v>0</v>
      </c>
      <c r="H49" s="327">
        <f>('Pivot Table for Data Exchange'!$C$273)*100</f>
        <v>0</v>
      </c>
      <c r="I49" s="333" t="s">
        <v>832</v>
      </c>
      <c r="J49" s="327">
        <f>('Pivot Table for Data Exchange'!$C$276)*100</f>
        <v>77.559847651930653</v>
      </c>
      <c r="K49" s="327">
        <f>('Pivot Table for Data Exchange'!$C$279)*100</f>
        <v>12.452469985603171</v>
      </c>
      <c r="L49" s="328">
        <f t="shared" si="7"/>
        <v>9.9876823624661739</v>
      </c>
      <c r="M49" s="327">
        <f>('Pivot Table for Data Exchange'!$C$282)*100</f>
        <v>9.5693237270461928</v>
      </c>
      <c r="N49" s="327">
        <f>('Pivot Table for Data Exchange'!$C$285)*100</f>
        <v>0.41835863541998103</v>
      </c>
      <c r="O49" s="335">
        <f>('Pivot Table for Data Exchange'!$C$288)*100</f>
        <v>0</v>
      </c>
      <c r="P49" s="327">
        <f>('Pivot Table for Data Exchange'!$C$291)*100</f>
        <v>0</v>
      </c>
      <c r="Q49" s="332">
        <f t="shared" si="3"/>
        <v>99.999999999999986</v>
      </c>
      <c r="R49" s="332">
        <f t="shared" si="2"/>
        <v>100</v>
      </c>
      <c r="S49" s="333"/>
      <c r="U49" s="333"/>
      <c r="V49" s="333"/>
      <c r="W49" s="333"/>
      <c r="X49" s="333"/>
      <c r="Y49" s="333"/>
      <c r="Z49" s="333"/>
      <c r="AA49" s="333"/>
      <c r="AB49" s="333"/>
      <c r="AC49" s="333"/>
      <c r="AD49" s="333"/>
      <c r="AE49" s="333"/>
      <c r="AF49" s="333"/>
      <c r="AG49" s="333"/>
      <c r="AH49" s="333"/>
      <c r="AI49" s="333"/>
      <c r="AJ49" s="333"/>
      <c r="AK49" s="333"/>
      <c r="AL49" s="333"/>
      <c r="AM49" s="333"/>
      <c r="AN49" s="333"/>
      <c r="AO49" s="333"/>
    </row>
    <row r="50" spans="1:41" ht="12" customHeight="1">
      <c r="B50" s="327"/>
      <c r="C50" s="327"/>
      <c r="D50" s="328"/>
      <c r="E50" s="327"/>
      <c r="F50" s="327"/>
      <c r="G50" s="335"/>
      <c r="H50" s="327"/>
      <c r="I50" s="333"/>
      <c r="J50" s="327"/>
      <c r="K50" s="327"/>
      <c r="L50" s="328"/>
      <c r="M50" s="327"/>
      <c r="N50" s="327"/>
      <c r="O50" s="335"/>
      <c r="P50" s="327"/>
      <c r="Q50" s="332">
        <f t="shared" si="3"/>
        <v>0</v>
      </c>
      <c r="R50" s="332">
        <f t="shared" si="2"/>
        <v>0</v>
      </c>
      <c r="S50" s="333"/>
      <c r="U50" s="333"/>
      <c r="V50" s="333"/>
      <c r="W50" s="333"/>
      <c r="X50" s="333"/>
      <c r="Y50" s="333"/>
      <c r="Z50" s="333"/>
      <c r="AA50" s="333"/>
      <c r="AB50" s="333"/>
      <c r="AC50" s="333"/>
      <c r="AD50" s="333"/>
      <c r="AE50" s="333"/>
      <c r="AF50" s="333"/>
      <c r="AG50" s="333"/>
      <c r="AH50" s="333"/>
      <c r="AI50" s="333"/>
      <c r="AJ50" s="333"/>
      <c r="AK50" s="333"/>
      <c r="AL50" s="333"/>
      <c r="AM50" s="333"/>
      <c r="AN50" s="333"/>
      <c r="AO50" s="333"/>
    </row>
    <row r="51" spans="1:41" ht="15.75" customHeight="1">
      <c r="A51" s="298" t="s">
        <v>833</v>
      </c>
      <c r="B51" s="327">
        <f>('Pivot Table for Data Exchange'!$C$294)*100</f>
        <v>81.512065960060113</v>
      </c>
      <c r="C51" s="327">
        <f>('Pivot Table for Data Exchange'!$C$297)*100</f>
        <v>5.4300554100349698</v>
      </c>
      <c r="D51" s="328">
        <f t="shared" ref="D51:D53" si="8">SUM(E51:G51)</f>
        <v>12.872325066515511</v>
      </c>
      <c r="E51" s="327">
        <f>('Pivot Table for Data Exchange'!$C$300)*100</f>
        <v>11.663275400888864</v>
      </c>
      <c r="F51" s="327">
        <f>('Pivot Table for Data Exchange'!$C$303)*100</f>
        <v>1.209049665626647</v>
      </c>
      <c r="G51" s="338">
        <f>('Pivot Table for Data Exchange'!$C$306)*100</f>
        <v>0</v>
      </c>
      <c r="H51" s="354">
        <f>('Pivot Table for Data Exchange'!$C$309)*100</f>
        <v>0.18555356338940715</v>
      </c>
      <c r="I51" s="333" t="s">
        <v>833</v>
      </c>
      <c r="J51" s="327">
        <f>('Pivot Table for Data Exchange'!$C$312)*100</f>
        <v>73.19580492194801</v>
      </c>
      <c r="K51" s="327">
        <f>('Pivot Table for Data Exchange'!$C$315)*100</f>
        <v>4.0018229437079595</v>
      </c>
      <c r="L51" s="328">
        <f t="shared" ref="L51:L53" si="9">SUM(M51:O51)</f>
        <v>22.736607709436619</v>
      </c>
      <c r="M51" s="327">
        <f>('Pivot Table for Data Exchange'!$C$318)*100</f>
        <v>21.578807702514048</v>
      </c>
      <c r="N51" s="327">
        <f>('Pivot Table for Data Exchange'!$C$321)*100</f>
        <v>1.1578000069225709</v>
      </c>
      <c r="O51" s="334">
        <f>('Pivot Table for Data Exchange'!$C$324)*100</f>
        <v>0</v>
      </c>
      <c r="P51" s="339">
        <f>('Pivot Table for Data Exchange'!$C$327)*100</f>
        <v>6.5764424907410621E-2</v>
      </c>
      <c r="Q51" s="332">
        <f t="shared" si="3"/>
        <v>100</v>
      </c>
      <c r="R51" s="332">
        <f t="shared" si="2"/>
        <v>100.00000000000001</v>
      </c>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row>
    <row r="52" spans="1:41" ht="15.75" customHeight="1">
      <c r="A52" s="298" t="s">
        <v>834</v>
      </c>
      <c r="B52" s="327">
        <f>('Pivot Table for Data Exchange'!$C$330)*100</f>
        <v>86.418762246125297</v>
      </c>
      <c r="C52" s="327">
        <f>('Pivot Table for Data Exchange'!$C$333)*100</f>
        <v>0.1261689434393439</v>
      </c>
      <c r="D52" s="328">
        <f t="shared" si="8"/>
        <v>13.455068810435353</v>
      </c>
      <c r="E52" s="327">
        <f>('Pivot Table for Data Exchange'!$C$336)*100</f>
        <v>13.304869734327324</v>
      </c>
      <c r="F52" s="339">
        <f>('Pivot Table for Data Exchange'!$C$339)*100</f>
        <v>1.0489002452879016E-2</v>
      </c>
      <c r="G52" s="334">
        <f>('Pivot Table for Data Exchange'!$C$342)*100</f>
        <v>0.13971007365515081</v>
      </c>
      <c r="H52" s="327">
        <f>('Pivot Table for Data Exchange'!$C$345)*100</f>
        <v>0</v>
      </c>
      <c r="I52" s="333" t="s">
        <v>834</v>
      </c>
      <c r="J52" s="327">
        <f>('Pivot Table for Data Exchange'!$C$348)*100</f>
        <v>79.251229486980378</v>
      </c>
      <c r="K52" s="327">
        <f>('Pivot Table for Data Exchange'!$C$351)*100</f>
        <v>1.7572086762954913</v>
      </c>
      <c r="L52" s="328">
        <f t="shared" si="9"/>
        <v>18.991561836724131</v>
      </c>
      <c r="M52" s="327">
        <f>('Pivot Table for Data Exchange'!$C$354)*100</f>
        <v>18.379044365067042</v>
      </c>
      <c r="N52" s="336">
        <f>('Pivot Table for Data Exchange'!$C$357)*100</f>
        <v>2.443443598902521E-2</v>
      </c>
      <c r="O52" s="335">
        <f>('Pivot Table for Data Exchange'!$C$360)*100</f>
        <v>0.58808303566806441</v>
      </c>
      <c r="P52" s="327">
        <f>('Pivot Table for Data Exchange'!$C$363)*100</f>
        <v>0</v>
      </c>
      <c r="Q52" s="332">
        <f t="shared" si="3"/>
        <v>99.999999999999986</v>
      </c>
      <c r="R52" s="332">
        <f t="shared" si="2"/>
        <v>100</v>
      </c>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row>
    <row r="53" spans="1:41" ht="15.75" customHeight="1">
      <c r="A53" s="298" t="s">
        <v>835</v>
      </c>
      <c r="B53" s="327">
        <f>('Pivot Table for Data Exchange'!$C$366)*100</f>
        <v>85.532525736414058</v>
      </c>
      <c r="C53" s="327">
        <f>('Pivot Table for Data Exchange'!$C$369)*100</f>
        <v>1.0215280356867147</v>
      </c>
      <c r="D53" s="328">
        <f t="shared" si="8"/>
        <v>13.445946227899231</v>
      </c>
      <c r="E53" s="327">
        <f>('Pivot Table for Data Exchange'!$C$372)*100</f>
        <v>13.275608097111929</v>
      </c>
      <c r="F53" s="327">
        <f>('Pivot Table for Data Exchange'!$C$375)*100</f>
        <v>8.2623591121719579E-3</v>
      </c>
      <c r="G53" s="335">
        <f>('Pivot Table for Data Exchange'!$C$378)*100</f>
        <v>0.16207577167513071</v>
      </c>
      <c r="H53" s="327">
        <f>('Pivot Table for Data Exchange'!$C$381)*100</f>
        <v>0</v>
      </c>
      <c r="I53" s="333" t="s">
        <v>835</v>
      </c>
      <c r="J53" s="327">
        <f>('Pivot Table for Data Exchange'!$C$384)*100</f>
        <v>70.235278319295048</v>
      </c>
      <c r="K53" s="327">
        <f>('Pivot Table for Data Exchange'!$C$387)*100</f>
        <v>8.9036243326217726</v>
      </c>
      <c r="L53" s="328">
        <f t="shared" si="9"/>
        <v>20.861097348083181</v>
      </c>
      <c r="M53" s="327">
        <f>('Pivot Table for Data Exchange'!$C$390)*100</f>
        <v>18.941270715929559</v>
      </c>
      <c r="N53" s="327">
        <f>('Pivot Table for Data Exchange'!$C$393)*100</f>
        <v>0.17920234120681433</v>
      </c>
      <c r="O53" s="335">
        <f>('Pivot Table for Data Exchange'!$C$396)*100</f>
        <v>1.740624290946809</v>
      </c>
      <c r="P53" s="327">
        <f>('Pivot Table for Data Exchange'!$C$399)*100</f>
        <v>0</v>
      </c>
      <c r="Q53" s="332">
        <f t="shared" si="3"/>
        <v>100</v>
      </c>
      <c r="R53" s="332">
        <f t="shared" si="2"/>
        <v>100</v>
      </c>
      <c r="S53" s="333"/>
      <c r="T53" s="307"/>
      <c r="U53" s="333"/>
      <c r="V53" s="333"/>
      <c r="W53" s="333"/>
      <c r="X53" s="333"/>
      <c r="Y53" s="333"/>
      <c r="Z53" s="333"/>
      <c r="AA53" s="333"/>
      <c r="AB53" s="333"/>
      <c r="AC53" s="333"/>
      <c r="AD53" s="333"/>
      <c r="AE53" s="333"/>
      <c r="AF53" s="333"/>
      <c r="AG53" s="333"/>
      <c r="AH53" s="333"/>
      <c r="AI53" s="333"/>
      <c r="AJ53" s="333"/>
      <c r="AK53" s="333"/>
      <c r="AL53" s="333"/>
      <c r="AM53" s="333"/>
      <c r="AN53" s="333"/>
      <c r="AO53" s="333"/>
    </row>
    <row r="54" spans="1:41" ht="15.75" customHeight="1">
      <c r="A54" s="298" t="s">
        <v>836</v>
      </c>
      <c r="B54" s="327">
        <f>('Pivot Table for Data Exchange'!$C$402)*100</f>
        <v>82.805012673752174</v>
      </c>
      <c r="C54" s="327">
        <f>('Pivot Table for Data Exchange'!$C$405)*100</f>
        <v>8.2797981767482867</v>
      </c>
      <c r="D54" s="328">
        <f>SUM(E54:G54)</f>
        <v>8.9151891494995361</v>
      </c>
      <c r="E54" s="327">
        <f>('Pivot Table for Data Exchange'!$C$408)*100</f>
        <v>8.9030119097753513</v>
      </c>
      <c r="F54" s="327">
        <f>('Pivot Table for Data Exchange'!$C$411)*100</f>
        <v>1.217723972418552E-2</v>
      </c>
      <c r="G54" s="335">
        <f>('Pivot Table for Data Exchange'!$C$414)*100</f>
        <v>0</v>
      </c>
      <c r="H54" s="327">
        <f>('Pivot Table for Data Exchange'!$C$417)*100</f>
        <v>0</v>
      </c>
      <c r="I54" s="333" t="s">
        <v>836</v>
      </c>
      <c r="J54" s="327">
        <f>('Pivot Table for Data Exchange'!$C$420)*100</f>
        <v>52.204366601965127</v>
      </c>
      <c r="K54" s="327">
        <f>('Pivot Table for Data Exchange'!$C$423)*100</f>
        <v>26.1398004784905</v>
      </c>
      <c r="L54" s="328">
        <f>SUM(M54:O54)</f>
        <v>21.655832919544384</v>
      </c>
      <c r="M54" s="327">
        <f>('Pivot Table for Data Exchange'!$C$426)*100</f>
        <v>19.196798025850526</v>
      </c>
      <c r="N54" s="327">
        <f>('Pivot Table for Data Exchange'!$C$429)*100</f>
        <v>2.4590348936938562</v>
      </c>
      <c r="O54" s="335">
        <f>('Pivot Table for Data Exchange'!$C$432)*100</f>
        <v>0</v>
      </c>
      <c r="P54" s="327">
        <f>('Pivot Table for Data Exchange'!$C$435)*100</f>
        <v>0</v>
      </c>
      <c r="Q54" s="332">
        <f t="shared" si="3"/>
        <v>100</v>
      </c>
      <c r="R54" s="332">
        <f t="shared" si="2"/>
        <v>100.00000000000001</v>
      </c>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row>
    <row r="55" spans="1:41" ht="14.25" customHeight="1">
      <c r="B55" s="327"/>
      <c r="C55" s="327"/>
      <c r="D55" s="328"/>
      <c r="E55" s="327"/>
      <c r="F55" s="327"/>
      <c r="G55" s="335"/>
      <c r="H55" s="327"/>
      <c r="I55" s="333"/>
      <c r="J55" s="327"/>
      <c r="K55" s="327"/>
      <c r="L55" s="328"/>
      <c r="M55" s="327"/>
      <c r="N55" s="327"/>
      <c r="O55" s="335"/>
      <c r="P55" s="327"/>
      <c r="Q55" s="332">
        <f t="shared" si="3"/>
        <v>0</v>
      </c>
      <c r="R55" s="332">
        <f t="shared" si="2"/>
        <v>0</v>
      </c>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row>
    <row r="56" spans="1:41" ht="15.75" customHeight="1">
      <c r="A56" s="298" t="s">
        <v>837</v>
      </c>
      <c r="B56" s="327">
        <f>('Pivot Table for Data Exchange'!$C$438)*100</f>
        <v>83.92554237957664</v>
      </c>
      <c r="C56" s="327">
        <f>('Pivot Table for Data Exchange'!$C$441)*100</f>
        <v>1.8083837437164523</v>
      </c>
      <c r="D56" s="328">
        <f>SUM(E56:G56)</f>
        <v>13.731052537817469</v>
      </c>
      <c r="E56" s="327">
        <f>('Pivot Table for Data Exchange'!$C$444)*100</f>
        <v>10.397383565569644</v>
      </c>
      <c r="F56" s="354">
        <f>('Pivot Table for Data Exchange'!$C$447)*100</f>
        <v>3.4080259009968472E-2</v>
      </c>
      <c r="G56" s="335">
        <f>('Pivot Table for Data Exchange'!$C$450)*100</f>
        <v>3.2995887132378567</v>
      </c>
      <c r="H56" s="327">
        <f>('Pivot Table for Data Exchange'!$C$453)*100</f>
        <v>0.53502133888944825</v>
      </c>
      <c r="I56" s="333" t="s">
        <v>837</v>
      </c>
      <c r="J56" s="327">
        <f>('Pivot Table for Data Exchange'!$C$456)*100</f>
        <v>69.113939248409167</v>
      </c>
      <c r="K56" s="327">
        <f>('Pivot Table for Data Exchange'!$C$459)*100</f>
        <v>2.0323901762249701</v>
      </c>
      <c r="L56" s="328">
        <f>SUM(M56:O56)</f>
        <v>25.586638385293682</v>
      </c>
      <c r="M56" s="327">
        <f>('Pivot Table for Data Exchange'!$C$462)*100</f>
        <v>22.511039073651631</v>
      </c>
      <c r="N56" s="327">
        <f>('Pivot Table for Data Exchange'!$C$465)*100</f>
        <v>0.11405931084163765</v>
      </c>
      <c r="O56" s="335">
        <f>('Pivot Table for Data Exchange'!$C$468)*100</f>
        <v>2.9615400008004165</v>
      </c>
      <c r="P56" s="327">
        <f>('Pivot Table for Data Exchange'!$C$471)*100</f>
        <v>3.2670321900721708</v>
      </c>
      <c r="Q56" s="332">
        <f t="shared" si="3"/>
        <v>100.00000000000001</v>
      </c>
      <c r="R56" s="332">
        <f t="shared" si="2"/>
        <v>99.999999999999986</v>
      </c>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row>
    <row r="57" spans="1:41" ht="15.75" customHeight="1">
      <c r="A57" s="298" t="s">
        <v>838</v>
      </c>
      <c r="B57" s="327">
        <f>('Pivot Table for Data Exchange'!$C$474)*100</f>
        <v>82.88130534392397</v>
      </c>
      <c r="C57" s="327">
        <f>('Pivot Table for Data Exchange'!$C$477)*100</f>
        <v>0.91333257648076216</v>
      </c>
      <c r="D57" s="328">
        <f>SUM(E57:G57)</f>
        <v>16.205362079595272</v>
      </c>
      <c r="E57" s="327">
        <f>('Pivot Table for Data Exchange'!$C$480)*100</f>
        <v>15.503064737546646</v>
      </c>
      <c r="F57" s="327">
        <f>('Pivot Table for Data Exchange'!$C$483)*100</f>
        <v>0.5252026752529676</v>
      </c>
      <c r="G57" s="335">
        <f>('Pivot Table for Data Exchange'!$C$486)*100</f>
        <v>0.17709466679565555</v>
      </c>
      <c r="H57" s="327">
        <f>('Pivot Table for Data Exchange'!$C$489)*100</f>
        <v>0</v>
      </c>
      <c r="I57" s="333" t="s">
        <v>838</v>
      </c>
      <c r="J57" s="327">
        <f>('Pivot Table for Data Exchange'!$C$492)*100</f>
        <v>77.972733493586929</v>
      </c>
      <c r="K57" s="327">
        <f>('Pivot Table for Data Exchange'!$C$495)*100</f>
        <v>1.5341319567086424</v>
      </c>
      <c r="L57" s="328">
        <f>SUM(M57:O57)</f>
        <v>20.493134549704425</v>
      </c>
      <c r="M57" s="327">
        <f>('Pivot Table for Data Exchange'!$C$498)*100</f>
        <v>19.933721837693263</v>
      </c>
      <c r="N57" s="327">
        <f>('Pivot Table for Data Exchange'!$C$501)*100</f>
        <v>0.14669993797865336</v>
      </c>
      <c r="O57" s="335">
        <f>('Pivot Table for Data Exchange'!$C$504)*100</f>
        <v>0.412712774032509</v>
      </c>
      <c r="P57" s="327">
        <f>('Pivot Table for Data Exchange'!$C$507)*100</f>
        <v>0</v>
      </c>
      <c r="Q57" s="332">
        <f t="shared" si="3"/>
        <v>100</v>
      </c>
      <c r="R57" s="332">
        <f t="shared" si="2"/>
        <v>100</v>
      </c>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row>
    <row r="58" spans="1:41" ht="15.75" customHeight="1">
      <c r="A58" s="298" t="s">
        <v>839</v>
      </c>
      <c r="B58" s="327">
        <f>('Pivot Table for Data Exchange'!$C$510)*100</f>
        <v>89.178831935933943</v>
      </c>
      <c r="C58" s="327">
        <f>('Pivot Table for Data Exchange'!$C$513)*100</f>
        <v>1.3141432591715594</v>
      </c>
      <c r="D58" s="328">
        <f t="shared" ref="D58" si="10">SUM(E58:G58)</f>
        <v>9.5070248048944972</v>
      </c>
      <c r="E58" s="327">
        <f>('Pivot Table for Data Exchange'!$C$516)*100</f>
        <v>8.6040075265598173</v>
      </c>
      <c r="F58" s="327">
        <f>('Pivot Table for Data Exchange'!$C$519)*100</f>
        <v>0.89559202912082059</v>
      </c>
      <c r="G58" s="335">
        <f>('Pivot Table for Data Exchange'!$C$522)*100</f>
        <v>7.4252492138596046E-3</v>
      </c>
      <c r="H58" s="327">
        <f>('Pivot Table for Data Exchange'!$C$525)*100</f>
        <v>0</v>
      </c>
      <c r="I58" s="333" t="s">
        <v>839</v>
      </c>
      <c r="J58" s="327">
        <f>('Pivot Table for Data Exchange'!$C$528)*100</f>
        <v>78.58793758743262</v>
      </c>
      <c r="K58" s="327">
        <f>('Pivot Table for Data Exchange'!$C$531)*100</f>
        <v>7.4570033084714691</v>
      </c>
      <c r="L58" s="328">
        <f t="shared" ref="L58" si="11">SUM(M58:O58)</f>
        <v>13.955059104095913</v>
      </c>
      <c r="M58" s="327">
        <f>('Pivot Table for Data Exchange'!$C$534)*100</f>
        <v>10.28617783140233</v>
      </c>
      <c r="N58" s="327">
        <f>('Pivot Table for Data Exchange'!$C$537)*100</f>
        <v>3.3445407391795725</v>
      </c>
      <c r="O58" s="335">
        <f>('Pivot Table for Data Exchange'!$C$540)*100</f>
        <v>0.32434053351400971</v>
      </c>
      <c r="P58" s="327">
        <f>('Pivot Table for Data Exchange'!$C$543)*100</f>
        <v>0</v>
      </c>
      <c r="Q58" s="332">
        <f t="shared" si="3"/>
        <v>100</v>
      </c>
      <c r="R58" s="332">
        <f t="shared" si="2"/>
        <v>100</v>
      </c>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row>
    <row r="59" spans="1:41" ht="15.75" customHeight="1">
      <c r="A59" s="304" t="s">
        <v>840</v>
      </c>
      <c r="B59" s="340">
        <f>('Pivot Table for Data Exchange'!$C$546)*100</f>
        <v>88.207429339438875</v>
      </c>
      <c r="C59" s="340">
        <f>('Pivot Table for Data Exchange'!$C$549)*100</f>
        <v>0.25393818742998314</v>
      </c>
      <c r="D59" s="341">
        <f>SUM(E59:G59)</f>
        <v>11.538632473131132</v>
      </c>
      <c r="E59" s="340">
        <f>('Pivot Table for Data Exchange'!$C$552)*100</f>
        <v>10.903250623351585</v>
      </c>
      <c r="F59" s="355">
        <f>('Pivot Table for Data Exchange'!$C$555)*100</f>
        <v>0</v>
      </c>
      <c r="G59" s="342">
        <f>('Pivot Table for Data Exchange'!$C$558)*100</f>
        <v>0.63538184977954726</v>
      </c>
      <c r="H59" s="340">
        <f>('Pivot Table for Data Exchange'!$C$561)*100</f>
        <v>0</v>
      </c>
      <c r="I59" s="343" t="s">
        <v>840</v>
      </c>
      <c r="J59" s="340">
        <f>('Pivot Table for Data Exchange'!$C$564)*100</f>
        <v>65.761257256993602</v>
      </c>
      <c r="K59" s="340">
        <f>('Pivot Table for Data Exchange'!$C$567)*100</f>
        <v>4.8760412208211239</v>
      </c>
      <c r="L59" s="341">
        <f>SUM(M59:O59)</f>
        <v>29.362701522185279</v>
      </c>
      <c r="M59" s="340">
        <f>('Pivot Table for Data Exchange'!$C$570)*100</f>
        <v>28.871036776084026</v>
      </c>
      <c r="N59" s="340">
        <f>('Pivot Table for Data Exchange'!$C$573)*100</f>
        <v>0</v>
      </c>
      <c r="O59" s="342">
        <f>('Pivot Table for Data Exchange'!$C$576)*100</f>
        <v>0.49166474610125221</v>
      </c>
      <c r="P59" s="340">
        <f>('Pivot Table for Data Exchange'!$C$579)*100</f>
        <v>0</v>
      </c>
      <c r="Q59" s="332">
        <f t="shared" si="3"/>
        <v>99.999999999999986</v>
      </c>
      <c r="R59" s="332">
        <f t="shared" si="2"/>
        <v>100</v>
      </c>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row>
    <row r="60" spans="1:41" s="345" customFormat="1" ht="13.5" customHeight="1">
      <c r="A60" s="346" t="s">
        <v>866</v>
      </c>
      <c r="B60" s="347"/>
      <c r="C60" s="347"/>
      <c r="D60" s="348"/>
      <c r="E60" s="347"/>
      <c r="F60" s="348"/>
      <c r="G60" s="348"/>
      <c r="H60" s="347"/>
      <c r="I60" s="346" t="s">
        <v>866</v>
      </c>
      <c r="J60" s="347"/>
      <c r="K60" s="347"/>
      <c r="L60" s="348"/>
      <c r="M60" s="347"/>
      <c r="N60" s="348"/>
      <c r="O60" s="348"/>
      <c r="P60" s="347"/>
      <c r="Q60" s="332"/>
      <c r="R60" s="332"/>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row>
    <row r="61" spans="1:41" s="345" customFormat="1" ht="24" customHeight="1">
      <c r="A61" s="455" t="s">
        <v>867</v>
      </c>
      <c r="B61" s="467"/>
      <c r="C61" s="467"/>
      <c r="D61" s="467"/>
      <c r="E61" s="467"/>
      <c r="F61" s="467"/>
      <c r="G61" s="467"/>
      <c r="H61" s="467"/>
      <c r="I61" s="455" t="s">
        <v>867</v>
      </c>
      <c r="J61" s="467"/>
      <c r="K61" s="467"/>
      <c r="L61" s="467"/>
      <c r="M61" s="467"/>
      <c r="N61" s="467"/>
      <c r="O61" s="467"/>
      <c r="P61" s="467"/>
      <c r="Q61" s="332"/>
      <c r="R61" s="332"/>
    </row>
    <row r="62" spans="1:41" s="345" customFormat="1" ht="13.5" customHeight="1">
      <c r="A62" s="356"/>
      <c r="B62" s="357"/>
      <c r="I62" s="356"/>
      <c r="P62" s="358"/>
      <c r="Q62" s="332"/>
      <c r="R62" s="332"/>
    </row>
    <row r="63" spans="1:41" s="345" customFormat="1" ht="13.5" customHeight="1">
      <c r="H63" s="351" t="s">
        <v>980</v>
      </c>
      <c r="P63" s="351" t="s">
        <v>980</v>
      </c>
      <c r="Q63" s="332"/>
      <c r="R63" s="332"/>
    </row>
    <row r="64" spans="1:41" ht="18">
      <c r="A64" s="293" t="s">
        <v>868</v>
      </c>
      <c r="B64" s="294"/>
      <c r="C64" s="294"/>
      <c r="D64" s="294"/>
      <c r="E64" s="294"/>
      <c r="F64" s="294"/>
      <c r="G64" s="294"/>
      <c r="H64" s="294"/>
      <c r="I64" s="293" t="s">
        <v>869</v>
      </c>
      <c r="J64" s="295"/>
      <c r="K64" s="295"/>
      <c r="L64" s="294"/>
      <c r="M64" s="295"/>
      <c r="N64" s="295"/>
      <c r="O64" s="295"/>
      <c r="P64" s="295"/>
      <c r="Q64" s="332"/>
      <c r="R64" s="332"/>
    </row>
    <row r="65" spans="1:41">
      <c r="A65" s="299"/>
      <c r="B65" s="295"/>
      <c r="C65" s="295"/>
      <c r="D65" s="295"/>
      <c r="E65" s="295"/>
      <c r="F65" s="295"/>
      <c r="G65" s="295"/>
      <c r="H65" s="295"/>
      <c r="I65" s="299"/>
      <c r="J65" s="295"/>
      <c r="K65" s="295"/>
      <c r="L65" s="295"/>
      <c r="M65" s="295"/>
      <c r="N65" s="295"/>
      <c r="O65" s="295"/>
      <c r="P65" s="295"/>
      <c r="Q65" s="332"/>
      <c r="R65" s="332"/>
    </row>
    <row r="66" spans="1:41" ht="15.75">
      <c r="A66" s="301" t="s">
        <v>846</v>
      </c>
      <c r="B66" s="295"/>
      <c r="C66" s="295"/>
      <c r="D66" s="295"/>
      <c r="E66" s="295"/>
      <c r="F66" s="295"/>
      <c r="G66" s="295"/>
      <c r="H66" s="295"/>
      <c r="I66" s="301" t="s">
        <v>847</v>
      </c>
      <c r="J66" s="295"/>
      <c r="K66" s="295"/>
      <c r="L66" s="295"/>
      <c r="M66" s="295"/>
      <c r="N66" s="295"/>
      <c r="O66" s="295"/>
      <c r="P66" s="295"/>
      <c r="Q66" s="332"/>
      <c r="R66" s="332"/>
    </row>
    <row r="67" spans="1:41" ht="15.75">
      <c r="A67" s="301" t="s">
        <v>893</v>
      </c>
      <c r="B67" s="295"/>
      <c r="C67" s="295"/>
      <c r="D67" s="295"/>
      <c r="E67" s="295"/>
      <c r="F67" s="295"/>
      <c r="G67" s="295"/>
      <c r="H67" s="295"/>
      <c r="I67" s="301" t="s">
        <v>893</v>
      </c>
      <c r="J67" s="295"/>
      <c r="K67" s="295"/>
      <c r="L67" s="295"/>
      <c r="M67" s="295"/>
      <c r="N67" s="295"/>
      <c r="O67" s="295"/>
      <c r="P67" s="295"/>
      <c r="Q67" s="332"/>
      <c r="R67" s="332"/>
    </row>
    <row r="68" spans="1:41">
      <c r="A68" s="304"/>
      <c r="B68" s="305"/>
      <c r="C68" s="305"/>
      <c r="D68" s="305"/>
      <c r="E68" s="305"/>
      <c r="F68" s="305"/>
      <c r="G68" s="305"/>
      <c r="H68" s="305"/>
      <c r="I68" s="306"/>
      <c r="L68" s="307"/>
      <c r="P68" s="304"/>
      <c r="Q68" s="332"/>
      <c r="R68" s="332"/>
    </row>
    <row r="69" spans="1:41" s="314" customFormat="1">
      <c r="A69" s="309"/>
      <c r="B69" s="310" t="s">
        <v>848</v>
      </c>
      <c r="C69" s="310"/>
      <c r="D69" s="310"/>
      <c r="E69" s="310"/>
      <c r="F69" s="310"/>
      <c r="G69" s="310"/>
      <c r="H69" s="311"/>
      <c r="I69" s="309"/>
      <c r="J69" s="310" t="s">
        <v>848</v>
      </c>
      <c r="K69" s="310"/>
      <c r="L69" s="310"/>
      <c r="M69" s="310"/>
      <c r="N69" s="310"/>
      <c r="O69" s="310"/>
      <c r="P69" s="311"/>
      <c r="Q69" s="332"/>
      <c r="R69" s="332"/>
    </row>
    <row r="70" spans="1:41" s="314" customFormat="1">
      <c r="A70" s="309"/>
      <c r="B70" s="310" t="s">
        <v>849</v>
      </c>
      <c r="C70" s="310"/>
      <c r="D70" s="450" t="s">
        <v>850</v>
      </c>
      <c r="E70" s="448"/>
      <c r="F70" s="448"/>
      <c r="G70" s="448"/>
      <c r="H70" s="317" t="s">
        <v>740</v>
      </c>
      <c r="I70" s="309"/>
      <c r="J70" s="310" t="s">
        <v>849</v>
      </c>
      <c r="K70" s="310"/>
      <c r="L70" s="450" t="s">
        <v>850</v>
      </c>
      <c r="M70" s="448"/>
      <c r="N70" s="448"/>
      <c r="O70" s="448"/>
      <c r="P70" s="317" t="s">
        <v>740</v>
      </c>
      <c r="Q70" s="332"/>
      <c r="R70" s="332"/>
    </row>
    <row r="71" spans="1:41" s="314" customFormat="1" ht="40.5" customHeight="1">
      <c r="A71" s="309"/>
      <c r="B71" s="318" t="s">
        <v>851</v>
      </c>
      <c r="C71" s="319" t="s">
        <v>852</v>
      </c>
      <c r="D71" s="320" t="s">
        <v>853</v>
      </c>
      <c r="E71" s="321" t="s">
        <v>8</v>
      </c>
      <c r="F71" s="318" t="s">
        <v>854</v>
      </c>
      <c r="G71" s="322" t="s">
        <v>864</v>
      </c>
      <c r="H71" s="323" t="s">
        <v>856</v>
      </c>
      <c r="I71" s="309"/>
      <c r="J71" s="318" t="s">
        <v>851</v>
      </c>
      <c r="K71" s="319" t="s">
        <v>852</v>
      </c>
      <c r="L71" s="320" t="s">
        <v>853</v>
      </c>
      <c r="M71" s="321" t="s">
        <v>8</v>
      </c>
      <c r="N71" s="318" t="s">
        <v>854</v>
      </c>
      <c r="O71" s="322" t="s">
        <v>864</v>
      </c>
      <c r="P71" s="323" t="s">
        <v>856</v>
      </c>
      <c r="Q71" s="332"/>
      <c r="R71" s="332"/>
      <c r="T71" s="352"/>
    </row>
    <row r="72" spans="1:41" ht="15.75" customHeight="1">
      <c r="A72" s="353" t="s">
        <v>825</v>
      </c>
      <c r="B72" s="327">
        <f>('Pivot Table for Data Exchange'!$D$6)*100</f>
        <v>89.557854120948448</v>
      </c>
      <c r="C72" s="339">
        <f>('Pivot Table for Data Exchange'!$D$9)*100</f>
        <v>7.828240699151727E-2</v>
      </c>
      <c r="D72" s="328">
        <f>SUM(E72:G72)</f>
        <v>10.363863472060025</v>
      </c>
      <c r="E72" s="327">
        <f>('Pivot Table for Data Exchange'!$D$12)*100</f>
        <v>10.363863472060025</v>
      </c>
      <c r="F72" s="327">
        <f>('Pivot Table for Data Exchange'!$D$15)*100</f>
        <v>0</v>
      </c>
      <c r="G72" s="331">
        <f>('Pivot Table for Data Exchange'!$D$18)*100</f>
        <v>0</v>
      </c>
      <c r="H72" s="327">
        <f>('Pivot Table for Data Exchange'!$D$21)*100</f>
        <v>0</v>
      </c>
      <c r="I72" s="330" t="s">
        <v>825</v>
      </c>
      <c r="J72" s="327">
        <f>('Pivot Table for Data Exchange'!$D$24)*100</f>
        <v>69.980589591168268</v>
      </c>
      <c r="K72" s="327">
        <f>('Pivot Table for Data Exchange'!$D$27)*100</f>
        <v>0</v>
      </c>
      <c r="L72" s="328">
        <f>SUM(M72:O72)</f>
        <v>30.019410408831739</v>
      </c>
      <c r="M72" s="327">
        <f>('Pivot Table for Data Exchange'!$D$30)*100</f>
        <v>30.019410408831739</v>
      </c>
      <c r="N72" s="327">
        <f>('Pivot Table for Data Exchange'!$D$33)*100</f>
        <v>0</v>
      </c>
      <c r="O72" s="331">
        <f>('Pivot Table for Data Exchange'!$D$36)*100</f>
        <v>0</v>
      </c>
      <c r="P72" s="327">
        <f>('Pivot Table for Data Exchange'!$D$39)*100</f>
        <v>0</v>
      </c>
      <c r="Q72" s="332">
        <f t="shared" si="3"/>
        <v>100</v>
      </c>
      <c r="R72" s="332">
        <f t="shared" si="2"/>
        <v>100</v>
      </c>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row>
    <row r="73" spans="1:41" ht="15.75" customHeight="1">
      <c r="A73" s="298" t="s">
        <v>826</v>
      </c>
      <c r="B73" s="327">
        <f>('Pivot Table for Data Exchange'!$D$42)*100</f>
        <v>54.149362477231335</v>
      </c>
      <c r="C73" s="327">
        <f>('Pivot Table for Data Exchange'!$D$45)*100</f>
        <v>10.822586520947176</v>
      </c>
      <c r="D73" s="328">
        <f t="shared" ref="D73:D75" si="12">SUM(E73:G73)</f>
        <v>35.028051001821495</v>
      </c>
      <c r="E73" s="327">
        <f>('Pivot Table for Data Exchange'!$D$48)*100</f>
        <v>35.028051001821495</v>
      </c>
      <c r="F73" s="327">
        <f>('Pivot Table for Data Exchange'!$D$51)*100</f>
        <v>0</v>
      </c>
      <c r="G73" s="335">
        <f>('Pivot Table for Data Exchange'!$D$54)*100</f>
        <v>0</v>
      </c>
      <c r="H73" s="327">
        <f>('Pivot Table for Data Exchange'!$D$57)*100</f>
        <v>0</v>
      </c>
      <c r="I73" s="333" t="s">
        <v>826</v>
      </c>
      <c r="J73" s="327">
        <f>('Pivot Table for Data Exchange'!$D$60)*100</f>
        <v>70.930865541643982</v>
      </c>
      <c r="K73" s="327">
        <f>('Pivot Table for Data Exchange'!$D$63)*100</f>
        <v>0.48282880878559081</v>
      </c>
      <c r="L73" s="328">
        <f t="shared" ref="L73:L75" si="13">SUM(M73:O73)</f>
        <v>28.586305649570427</v>
      </c>
      <c r="M73" s="327">
        <f>('Pivot Table for Data Exchange'!$D$66)*100</f>
        <v>28.586305649570427</v>
      </c>
      <c r="N73" s="327">
        <f>('Pivot Table for Data Exchange'!$D$69)*100</f>
        <v>0</v>
      </c>
      <c r="O73" s="335">
        <f>('Pivot Table for Data Exchange'!$D$72)*100</f>
        <v>0</v>
      </c>
      <c r="P73" s="327">
        <f>('Pivot Table for Data Exchange'!$D$75)*100</f>
        <v>0</v>
      </c>
      <c r="Q73" s="332">
        <f t="shared" si="3"/>
        <v>100</v>
      </c>
      <c r="R73" s="332">
        <f t="shared" si="2"/>
        <v>100</v>
      </c>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row>
    <row r="74" spans="1:41" ht="15.75" customHeight="1">
      <c r="A74" s="298" t="s">
        <v>827</v>
      </c>
      <c r="B74" s="327">
        <f>('Pivot Table for Data Exchange'!$D$78)*100</f>
        <v>0</v>
      </c>
      <c r="C74" s="327">
        <f>('Pivot Table for Data Exchange'!$D$81)*100</f>
        <v>0</v>
      </c>
      <c r="D74" s="328">
        <f t="shared" si="12"/>
        <v>0</v>
      </c>
      <c r="E74" s="327">
        <f>('Pivot Table for Data Exchange'!$D$84)*100</f>
        <v>0</v>
      </c>
      <c r="F74" s="327">
        <f>('Pivot Table for Data Exchange'!$D$87)*100</f>
        <v>0</v>
      </c>
      <c r="G74" s="335">
        <f>('Pivot Table for Data Exchange'!$D$90)*100</f>
        <v>0</v>
      </c>
      <c r="H74" s="327">
        <f>('Pivot Table for Data Exchange'!$D$93)*100</f>
        <v>0</v>
      </c>
      <c r="I74" s="333" t="s">
        <v>827</v>
      </c>
      <c r="J74" s="327">
        <f>('Pivot Table for Data Exchange'!$D$96)*100</f>
        <v>0</v>
      </c>
      <c r="K74" s="327">
        <f>('Pivot Table for Data Exchange'!$D$99)*100</f>
        <v>0</v>
      </c>
      <c r="L74" s="328">
        <f t="shared" si="13"/>
        <v>0</v>
      </c>
      <c r="M74" s="327">
        <f>('Pivot Table for Data Exchange'!$D$102)*100</f>
        <v>0</v>
      </c>
      <c r="N74" s="327">
        <f>('Pivot Table for Data Exchange'!$D$105)*100</f>
        <v>0</v>
      </c>
      <c r="O74" s="335">
        <f>('Pivot Table for Data Exchange'!$D$108)*100</f>
        <v>0</v>
      </c>
      <c r="P74" s="327">
        <f>('Pivot Table for Data Exchange'!$D$111)*100</f>
        <v>0</v>
      </c>
      <c r="Q74" s="332">
        <f t="shared" si="3"/>
        <v>0</v>
      </c>
      <c r="R74" s="332">
        <f t="shared" si="2"/>
        <v>0</v>
      </c>
      <c r="S74" s="333"/>
      <c r="T74" s="307"/>
      <c r="U74" s="333"/>
      <c r="V74" s="333"/>
      <c r="W74" s="333"/>
      <c r="X74" s="333"/>
      <c r="Y74" s="333"/>
      <c r="Z74" s="333"/>
      <c r="AA74" s="333"/>
      <c r="AB74" s="333"/>
      <c r="AC74" s="333"/>
      <c r="AD74" s="333"/>
      <c r="AE74" s="333"/>
      <c r="AF74" s="333"/>
      <c r="AG74" s="333"/>
      <c r="AH74" s="333"/>
      <c r="AI74" s="333"/>
      <c r="AJ74" s="333"/>
      <c r="AK74" s="333"/>
      <c r="AL74" s="333"/>
      <c r="AM74" s="333"/>
      <c r="AN74" s="333"/>
      <c r="AO74" s="333"/>
    </row>
    <row r="75" spans="1:41" ht="15.75" customHeight="1">
      <c r="A75" s="298" t="s">
        <v>828</v>
      </c>
      <c r="B75" s="327">
        <f>('Pivot Table for Data Exchange'!$D$114)*100</f>
        <v>0</v>
      </c>
      <c r="C75" s="327">
        <f>('Pivot Table for Data Exchange'!$D$117)*100</f>
        <v>0</v>
      </c>
      <c r="D75" s="328">
        <f t="shared" si="12"/>
        <v>0</v>
      </c>
      <c r="E75" s="327">
        <f>('Pivot Table for Data Exchange'!$D$120)*100</f>
        <v>0</v>
      </c>
      <c r="F75" s="327">
        <f>('Pivot Table for Data Exchange'!$D$123)*100</f>
        <v>0</v>
      </c>
      <c r="G75" s="335">
        <f>('Pivot Table for Data Exchange'!$D$126)*100</f>
        <v>0</v>
      </c>
      <c r="H75" s="327">
        <f>('Pivot Table for Data Exchange'!$D$129)*100</f>
        <v>0</v>
      </c>
      <c r="I75" s="333" t="s">
        <v>828</v>
      </c>
      <c r="J75" s="327">
        <f>('Pivot Table for Data Exchange'!$D$132)*100</f>
        <v>0</v>
      </c>
      <c r="K75" s="327">
        <f>('Pivot Table for Data Exchange'!$D$135)*100</f>
        <v>0</v>
      </c>
      <c r="L75" s="328">
        <f t="shared" si="13"/>
        <v>0</v>
      </c>
      <c r="M75" s="327">
        <f>('Pivot Table for Data Exchange'!$D$138)*100</f>
        <v>0</v>
      </c>
      <c r="N75" s="327">
        <f>('Pivot Table for Data Exchange'!$D$141)*100</f>
        <v>0</v>
      </c>
      <c r="O75" s="335">
        <f>('Pivot Table for Data Exchange'!$D$144)*100</f>
        <v>0</v>
      </c>
      <c r="P75" s="327">
        <f>('Pivot Table for Data Exchange'!$D$147)*100</f>
        <v>0</v>
      </c>
      <c r="Q75" s="332">
        <f t="shared" ref="Q75:Q138" si="14">SUM(B75,C75,D75,H75)</f>
        <v>0</v>
      </c>
      <c r="R75" s="332">
        <f t="shared" ref="R75:R138" si="15">SUM(J75,K75,L75,P75)</f>
        <v>0</v>
      </c>
      <c r="S75" s="333"/>
      <c r="U75" s="333"/>
      <c r="V75" s="333"/>
      <c r="W75" s="333"/>
      <c r="X75" s="333"/>
      <c r="Y75" s="333"/>
      <c r="Z75" s="333"/>
      <c r="AA75" s="333"/>
      <c r="AB75" s="333"/>
      <c r="AC75" s="333"/>
      <c r="AD75" s="333"/>
      <c r="AE75" s="333"/>
      <c r="AF75" s="333"/>
      <c r="AG75" s="333"/>
      <c r="AH75" s="333"/>
      <c r="AI75" s="333"/>
      <c r="AJ75" s="333"/>
      <c r="AK75" s="333"/>
      <c r="AL75" s="333"/>
      <c r="AM75" s="333"/>
      <c r="AN75" s="333"/>
      <c r="AO75" s="333"/>
    </row>
    <row r="76" spans="1:41" ht="9" customHeight="1">
      <c r="B76" s="327"/>
      <c r="C76" s="327"/>
      <c r="D76" s="328"/>
      <c r="E76" s="327"/>
      <c r="F76" s="327"/>
      <c r="G76" s="335"/>
      <c r="H76" s="327"/>
      <c r="I76" s="333"/>
      <c r="J76" s="327"/>
      <c r="K76" s="327"/>
      <c r="L76" s="328"/>
      <c r="M76" s="327"/>
      <c r="N76" s="327"/>
      <c r="O76" s="335"/>
      <c r="P76" s="327"/>
      <c r="Q76" s="332">
        <f t="shared" si="14"/>
        <v>0</v>
      </c>
      <c r="R76" s="332">
        <f t="shared" si="15"/>
        <v>0</v>
      </c>
      <c r="S76" s="333"/>
      <c r="U76" s="333"/>
      <c r="V76" s="333"/>
      <c r="W76" s="333"/>
      <c r="X76" s="333"/>
      <c r="Y76" s="333"/>
      <c r="Z76" s="333"/>
      <c r="AA76" s="333"/>
      <c r="AB76" s="333"/>
      <c r="AC76" s="333"/>
      <c r="AD76" s="333"/>
      <c r="AE76" s="333"/>
      <c r="AF76" s="333"/>
      <c r="AG76" s="333"/>
      <c r="AH76" s="333"/>
      <c r="AI76" s="333"/>
      <c r="AJ76" s="333"/>
      <c r="AK76" s="333"/>
      <c r="AL76" s="333"/>
      <c r="AM76" s="333"/>
      <c r="AN76" s="333"/>
      <c r="AO76" s="333"/>
    </row>
    <row r="77" spans="1:41" ht="15.75" customHeight="1">
      <c r="A77" s="298" t="s">
        <v>829</v>
      </c>
      <c r="B77" s="327">
        <f>('Pivot Table for Data Exchange'!$D$150)*100</f>
        <v>95.043420295678061</v>
      </c>
      <c r="C77" s="327">
        <f>('Pivot Table for Data Exchange'!$D$153)*100</f>
        <v>3.4656335893197943</v>
      </c>
      <c r="D77" s="328">
        <f t="shared" ref="D77:D80" si="16">SUM(E77:G77)</f>
        <v>1.4909461150021459</v>
      </c>
      <c r="E77" s="327">
        <f>('Pivot Table for Data Exchange'!$D$156)*100</f>
        <v>1.4909461150021459</v>
      </c>
      <c r="F77" s="327">
        <f>('Pivot Table for Data Exchange'!$D$159)*100</f>
        <v>0</v>
      </c>
      <c r="G77" s="335">
        <f>('Pivot Table for Data Exchange'!$D$162)*100</f>
        <v>0</v>
      </c>
      <c r="H77" s="327">
        <f>('Pivot Table for Data Exchange'!$D$165)*100</f>
        <v>0</v>
      </c>
      <c r="I77" s="333" t="s">
        <v>829</v>
      </c>
      <c r="J77" s="327">
        <f>('Pivot Table for Data Exchange'!$D$168)*100</f>
        <v>79.829703184344098</v>
      </c>
      <c r="K77" s="327">
        <f>('Pivot Table for Data Exchange'!$D$171)*100</f>
        <v>1.5241221066492405</v>
      </c>
      <c r="L77" s="328">
        <f t="shared" ref="L77:L80" si="17">SUM(M77:O77)</f>
        <v>18.646174709006669</v>
      </c>
      <c r="M77" s="327">
        <f>('Pivot Table for Data Exchange'!$D$174)*100</f>
        <v>18.646174709006669</v>
      </c>
      <c r="N77" s="327">
        <f>('Pivot Table for Data Exchange'!$D$177)*100</f>
        <v>0</v>
      </c>
      <c r="O77" s="335">
        <f>('Pivot Table for Data Exchange'!$D$180)*100</f>
        <v>0</v>
      </c>
      <c r="P77" s="327">
        <f>('Pivot Table for Data Exchange'!$D$183)*100</f>
        <v>0</v>
      </c>
      <c r="Q77" s="332">
        <f t="shared" si="14"/>
        <v>100</v>
      </c>
      <c r="R77" s="332">
        <f t="shared" si="15"/>
        <v>100.00000000000001</v>
      </c>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row>
    <row r="78" spans="1:41" ht="15.75" customHeight="1">
      <c r="A78" s="298" t="s">
        <v>830</v>
      </c>
      <c r="B78" s="327">
        <f>('Pivot Table for Data Exchange'!$D$186)*100</f>
        <v>0</v>
      </c>
      <c r="C78" s="327">
        <f>('Pivot Table for Data Exchange'!$D$189)*100</f>
        <v>0</v>
      </c>
      <c r="D78" s="328">
        <f t="shared" si="16"/>
        <v>0</v>
      </c>
      <c r="E78" s="327">
        <f>('Pivot Table for Data Exchange'!$D$192)*100</f>
        <v>0</v>
      </c>
      <c r="F78" s="327">
        <f>('Pivot Table for Data Exchange'!$D$195)*100</f>
        <v>0</v>
      </c>
      <c r="G78" s="335">
        <f>('Pivot Table for Data Exchange'!$D$198)*100</f>
        <v>0</v>
      </c>
      <c r="H78" s="327">
        <f>('Pivot Table for Data Exchange'!$D$201)*100</f>
        <v>0</v>
      </c>
      <c r="I78" s="333" t="s">
        <v>830</v>
      </c>
      <c r="J78" s="327">
        <f>('Pivot Table for Data Exchange'!$D$204)*100</f>
        <v>0</v>
      </c>
      <c r="K78" s="327">
        <f>('Pivot Table for Data Exchange'!$D$207)*100</f>
        <v>0</v>
      </c>
      <c r="L78" s="328">
        <f t="shared" si="17"/>
        <v>0</v>
      </c>
      <c r="M78" s="327">
        <f>('Pivot Table for Data Exchange'!$D$210)*100</f>
        <v>0</v>
      </c>
      <c r="N78" s="327">
        <f>('Pivot Table for Data Exchange'!$D$213)*100</f>
        <v>0</v>
      </c>
      <c r="O78" s="335">
        <f>('Pivot Table for Data Exchange'!$D$216)*100</f>
        <v>0</v>
      </c>
      <c r="P78" s="327">
        <f>('Pivot Table for Data Exchange'!$D$219)*100</f>
        <v>0</v>
      </c>
      <c r="Q78" s="332">
        <f t="shared" si="14"/>
        <v>0</v>
      </c>
      <c r="R78" s="332">
        <f t="shared" si="15"/>
        <v>0</v>
      </c>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row>
    <row r="79" spans="1:41" ht="15.75" customHeight="1">
      <c r="A79" s="298" t="s">
        <v>831</v>
      </c>
      <c r="B79" s="327">
        <f>('Pivot Table for Data Exchange'!$D$222)*100</f>
        <v>87.776820581430627</v>
      </c>
      <c r="C79" s="327">
        <f>('Pivot Table for Data Exchange'!$D$225)*100</f>
        <v>0</v>
      </c>
      <c r="D79" s="328">
        <f t="shared" si="16"/>
        <v>12.223179418569371</v>
      </c>
      <c r="E79" s="327">
        <f>('Pivot Table for Data Exchange'!$D$228)*100</f>
        <v>12.223179418569371</v>
      </c>
      <c r="F79" s="327">
        <f>('Pivot Table for Data Exchange'!$D$231)*100</f>
        <v>0</v>
      </c>
      <c r="G79" s="335">
        <f>('Pivot Table for Data Exchange'!$D$234)*100</f>
        <v>0</v>
      </c>
      <c r="H79" s="327">
        <f>('Pivot Table for Data Exchange'!$D$237)*100</f>
        <v>0</v>
      </c>
      <c r="I79" s="333" t="s">
        <v>831</v>
      </c>
      <c r="J79" s="327">
        <f>('Pivot Table for Data Exchange'!$D$240)*100</f>
        <v>83.188461673593508</v>
      </c>
      <c r="K79" s="327">
        <f>('Pivot Table for Data Exchange'!$D$243)*100</f>
        <v>0</v>
      </c>
      <c r="L79" s="328">
        <f t="shared" si="17"/>
        <v>16.811538326406492</v>
      </c>
      <c r="M79" s="327">
        <f>('Pivot Table for Data Exchange'!$D$246)*100</f>
        <v>16.811538326406492</v>
      </c>
      <c r="N79" s="327">
        <f>('Pivot Table for Data Exchange'!$D$249)*100</f>
        <v>0</v>
      </c>
      <c r="O79" s="335">
        <f>('Pivot Table for Data Exchange'!$D$252)*100</f>
        <v>0</v>
      </c>
      <c r="P79" s="327">
        <f>('Pivot Table for Data Exchange'!$D$255)*100</f>
        <v>0</v>
      </c>
      <c r="Q79" s="332">
        <f t="shared" si="14"/>
        <v>100</v>
      </c>
      <c r="R79" s="332">
        <f t="shared" si="15"/>
        <v>100</v>
      </c>
      <c r="S79" s="333"/>
      <c r="T79" s="307"/>
      <c r="U79" s="333"/>
      <c r="V79" s="333"/>
      <c r="W79" s="333"/>
      <c r="X79" s="333"/>
      <c r="Y79" s="333"/>
      <c r="Z79" s="333"/>
      <c r="AA79" s="333"/>
      <c r="AB79" s="333"/>
      <c r="AC79" s="333"/>
      <c r="AD79" s="333"/>
      <c r="AE79" s="333"/>
      <c r="AF79" s="333"/>
      <c r="AG79" s="333"/>
      <c r="AH79" s="333"/>
      <c r="AI79" s="333"/>
      <c r="AJ79" s="333"/>
      <c r="AK79" s="333"/>
      <c r="AL79" s="333"/>
      <c r="AM79" s="333"/>
      <c r="AN79" s="333"/>
      <c r="AO79" s="333"/>
    </row>
    <row r="80" spans="1:41" ht="15.75" customHeight="1">
      <c r="A80" s="298" t="s">
        <v>832</v>
      </c>
      <c r="B80" s="327">
        <f>('Pivot Table for Data Exchange'!$D$258)*100</f>
        <v>87.185261574734355</v>
      </c>
      <c r="C80" s="327">
        <f>('Pivot Table for Data Exchange'!$D$261)*100</f>
        <v>1.5616491365949308</v>
      </c>
      <c r="D80" s="328">
        <f t="shared" si="16"/>
        <v>11.253089288670713</v>
      </c>
      <c r="E80" s="327">
        <f>('Pivot Table for Data Exchange'!$D$264)*100</f>
        <v>11.253089288670713</v>
      </c>
      <c r="F80" s="327">
        <f>('Pivot Table for Data Exchange'!$D$267)*100</f>
        <v>0</v>
      </c>
      <c r="G80" s="335">
        <f>('Pivot Table for Data Exchange'!$D$270)*100</f>
        <v>0</v>
      </c>
      <c r="H80" s="327">
        <f>('Pivot Table for Data Exchange'!$D$273)*100</f>
        <v>0</v>
      </c>
      <c r="I80" s="333" t="s">
        <v>832</v>
      </c>
      <c r="J80" s="327">
        <f>('Pivot Table for Data Exchange'!$D$276)*100</f>
        <v>71.895560995087067</v>
      </c>
      <c r="K80" s="327">
        <f>('Pivot Table for Data Exchange'!$D$279)*100</f>
        <v>5.9180945436869612</v>
      </c>
      <c r="L80" s="328">
        <f t="shared" si="17"/>
        <v>22.186344461225978</v>
      </c>
      <c r="M80" s="327">
        <f>('Pivot Table for Data Exchange'!$D$282)*100</f>
        <v>22.186344461225978</v>
      </c>
      <c r="N80" s="327">
        <f>('Pivot Table for Data Exchange'!$D$285)*100</f>
        <v>0</v>
      </c>
      <c r="O80" s="335">
        <f>('Pivot Table for Data Exchange'!$D$288)*100</f>
        <v>0</v>
      </c>
      <c r="P80" s="327">
        <f>('Pivot Table for Data Exchange'!$D$291)*100</f>
        <v>0</v>
      </c>
      <c r="Q80" s="332">
        <f t="shared" si="14"/>
        <v>100</v>
      </c>
      <c r="R80" s="332">
        <f t="shared" si="15"/>
        <v>100</v>
      </c>
      <c r="S80" s="333"/>
      <c r="U80" s="333"/>
      <c r="V80" s="333"/>
      <c r="W80" s="333"/>
      <c r="X80" s="333"/>
      <c r="Y80" s="333"/>
      <c r="Z80" s="333"/>
      <c r="AA80" s="333"/>
      <c r="AB80" s="333"/>
      <c r="AC80" s="333"/>
      <c r="AD80" s="333"/>
      <c r="AE80" s="333"/>
      <c r="AF80" s="333"/>
      <c r="AG80" s="333"/>
      <c r="AH80" s="333"/>
      <c r="AI80" s="333"/>
      <c r="AJ80" s="333"/>
      <c r="AK80" s="333"/>
      <c r="AL80" s="333"/>
      <c r="AM80" s="333"/>
      <c r="AN80" s="333"/>
      <c r="AO80" s="333"/>
    </row>
    <row r="81" spans="1:41" ht="8.25" customHeight="1">
      <c r="B81" s="327"/>
      <c r="C81" s="327"/>
      <c r="D81" s="328"/>
      <c r="E81" s="327"/>
      <c r="F81" s="327"/>
      <c r="G81" s="335"/>
      <c r="H81" s="327"/>
      <c r="I81" s="333"/>
      <c r="J81" s="327"/>
      <c r="K81" s="327"/>
      <c r="L81" s="328"/>
      <c r="M81" s="327"/>
      <c r="N81" s="327"/>
      <c r="O81" s="335"/>
      <c r="P81" s="327"/>
      <c r="Q81" s="332">
        <f t="shared" si="14"/>
        <v>0</v>
      </c>
      <c r="R81" s="332">
        <f t="shared" si="15"/>
        <v>0</v>
      </c>
      <c r="S81" s="333"/>
      <c r="U81" s="333"/>
      <c r="V81" s="333"/>
      <c r="W81" s="333"/>
      <c r="X81" s="333"/>
      <c r="Y81" s="333"/>
      <c r="Z81" s="333"/>
      <c r="AA81" s="333"/>
      <c r="AB81" s="333"/>
      <c r="AC81" s="333"/>
      <c r="AD81" s="333"/>
      <c r="AE81" s="333"/>
      <c r="AF81" s="333"/>
      <c r="AG81" s="333"/>
      <c r="AH81" s="333"/>
      <c r="AI81" s="333"/>
      <c r="AJ81" s="333"/>
      <c r="AK81" s="333"/>
      <c r="AL81" s="333"/>
      <c r="AM81" s="333"/>
      <c r="AN81" s="333"/>
      <c r="AO81" s="333"/>
    </row>
    <row r="82" spans="1:41" ht="15.75" customHeight="1">
      <c r="A82" s="298" t="s">
        <v>833</v>
      </c>
      <c r="B82" s="327">
        <f>('Pivot Table for Data Exchange'!$D$294)*100</f>
        <v>69.533969679955078</v>
      </c>
      <c r="C82" s="327">
        <f>('Pivot Table for Data Exchange'!$D$297)*100</f>
        <v>2.2315802607773412</v>
      </c>
      <c r="D82" s="328">
        <f t="shared" ref="D82:D84" si="18">SUM(E82:G82)</f>
        <v>28.23445005926758</v>
      </c>
      <c r="E82" s="327">
        <f>('Pivot Table for Data Exchange'!$D$300)*100</f>
        <v>28.23445005926758</v>
      </c>
      <c r="F82" s="327">
        <f>('Pivot Table for Data Exchange'!$D$303)*100</f>
        <v>0</v>
      </c>
      <c r="G82" s="335">
        <f>('Pivot Table for Data Exchange'!$D$306)*100</f>
        <v>0</v>
      </c>
      <c r="H82" s="327">
        <f>('Pivot Table for Data Exchange'!$D$309)*100</f>
        <v>0</v>
      </c>
      <c r="I82" s="333" t="s">
        <v>833</v>
      </c>
      <c r="J82" s="327">
        <f>('Pivot Table for Data Exchange'!$D$312)*100</f>
        <v>35.000157445602539</v>
      </c>
      <c r="K82" s="327">
        <f>('Pivot Table for Data Exchange'!$D$315)*100</f>
        <v>20.546651132033883</v>
      </c>
      <c r="L82" s="328">
        <f t="shared" ref="L82:L84" si="19">SUM(M82:O82)</f>
        <v>44.453191422363574</v>
      </c>
      <c r="M82" s="327">
        <f>('Pivot Table for Data Exchange'!$D$318)*100</f>
        <v>44.453191422363574</v>
      </c>
      <c r="N82" s="327">
        <f>('Pivot Table for Data Exchange'!$D$321)*100</f>
        <v>0</v>
      </c>
      <c r="O82" s="335">
        <f>('Pivot Table for Data Exchange'!$D$324)*100</f>
        <v>0</v>
      </c>
      <c r="P82" s="336">
        <f>('Pivot Table for Data Exchange'!$D$327)*100</f>
        <v>0</v>
      </c>
      <c r="Q82" s="332">
        <f t="shared" si="14"/>
        <v>100</v>
      </c>
      <c r="R82" s="332">
        <f t="shared" si="15"/>
        <v>100</v>
      </c>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row>
    <row r="83" spans="1:41" ht="15.75" customHeight="1">
      <c r="A83" s="298" t="s">
        <v>834</v>
      </c>
      <c r="B83" s="327">
        <f>('Pivot Table for Data Exchange'!$D$330)*100</f>
        <v>79.574111540269342</v>
      </c>
      <c r="C83" s="327">
        <f>('Pivot Table for Data Exchange'!$D$333)*100</f>
        <v>0.38451320408281969</v>
      </c>
      <c r="D83" s="328">
        <f t="shared" si="18"/>
        <v>20.041375255647836</v>
      </c>
      <c r="E83" s="327">
        <f>('Pivot Table for Data Exchange'!$D$336)*100</f>
        <v>20.024397567160122</v>
      </c>
      <c r="F83" s="339">
        <f>('Pivot Table for Data Exchange'!$D$339)*100</f>
        <v>1.6977688487712396E-2</v>
      </c>
      <c r="G83" s="335">
        <f>('Pivot Table for Data Exchange'!$D$342)*100</f>
        <v>0</v>
      </c>
      <c r="H83" s="327">
        <f>('Pivot Table for Data Exchange'!$D$345)*100</f>
        <v>0</v>
      </c>
      <c r="I83" s="333" t="s">
        <v>834</v>
      </c>
      <c r="J83" s="327">
        <f>('Pivot Table for Data Exchange'!$D$348)*100</f>
        <v>41.33471039642604</v>
      </c>
      <c r="K83" s="327">
        <f>('Pivot Table for Data Exchange'!$D$351)*100</f>
        <v>4.6307749582677822</v>
      </c>
      <c r="L83" s="328">
        <f t="shared" si="19"/>
        <v>54.034514645306174</v>
      </c>
      <c r="M83" s="327">
        <f>('Pivot Table for Data Exchange'!$D$354)*100</f>
        <v>53.881996901608041</v>
      </c>
      <c r="N83" s="339">
        <f>('Pivot Table for Data Exchange'!$D$357)*100</f>
        <v>0.15251774369813495</v>
      </c>
      <c r="O83" s="335">
        <f>('Pivot Table for Data Exchange'!$D$360)*100</f>
        <v>0</v>
      </c>
      <c r="P83" s="327">
        <f>('Pivot Table for Data Exchange'!$D$363)*100</f>
        <v>0</v>
      </c>
      <c r="Q83" s="332">
        <f t="shared" si="14"/>
        <v>100</v>
      </c>
      <c r="R83" s="332">
        <f t="shared" si="15"/>
        <v>100</v>
      </c>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row>
    <row r="84" spans="1:41" ht="15.75" customHeight="1">
      <c r="A84" s="298" t="s">
        <v>835</v>
      </c>
      <c r="B84" s="327">
        <f>('Pivot Table for Data Exchange'!$D$366)*100</f>
        <v>0</v>
      </c>
      <c r="C84" s="327">
        <f>('Pivot Table for Data Exchange'!$D$369)*100</f>
        <v>0</v>
      </c>
      <c r="D84" s="328">
        <f t="shared" si="18"/>
        <v>0</v>
      </c>
      <c r="E84" s="327">
        <f>('Pivot Table for Data Exchange'!$D$372)*100</f>
        <v>0</v>
      </c>
      <c r="F84" s="327">
        <f>('Pivot Table for Data Exchange'!$D$375)*100</f>
        <v>0</v>
      </c>
      <c r="G84" s="335">
        <f>('Pivot Table for Data Exchange'!$D$378)*100</f>
        <v>0</v>
      </c>
      <c r="H84" s="327">
        <f>('Pivot Table for Data Exchange'!$D$381)*100</f>
        <v>0</v>
      </c>
      <c r="I84" s="333" t="s">
        <v>835</v>
      </c>
      <c r="J84" s="327">
        <f>('Pivot Table for Data Exchange'!$D$384)*100</f>
        <v>0</v>
      </c>
      <c r="K84" s="327">
        <f>('Pivot Table for Data Exchange'!$D$387)*100</f>
        <v>0</v>
      </c>
      <c r="L84" s="328">
        <f t="shared" si="19"/>
        <v>0</v>
      </c>
      <c r="M84" s="327">
        <f>('Pivot Table for Data Exchange'!$D$390)*100</f>
        <v>0</v>
      </c>
      <c r="N84" s="327">
        <f>('Pivot Table for Data Exchange'!$D$393)*100</f>
        <v>0</v>
      </c>
      <c r="O84" s="335">
        <f>('Pivot Table for Data Exchange'!$D$396)*100</f>
        <v>0</v>
      </c>
      <c r="P84" s="327">
        <f>('Pivot Table for Data Exchange'!$D$399)*100</f>
        <v>0</v>
      </c>
      <c r="Q84" s="332">
        <f t="shared" si="14"/>
        <v>0</v>
      </c>
      <c r="R84" s="332">
        <f t="shared" si="15"/>
        <v>0</v>
      </c>
      <c r="S84" s="333"/>
      <c r="T84" s="307"/>
      <c r="U84" s="333"/>
      <c r="V84" s="333"/>
      <c r="W84" s="333"/>
      <c r="X84" s="333"/>
      <c r="Y84" s="333"/>
      <c r="Z84" s="333"/>
      <c r="AA84" s="333"/>
      <c r="AB84" s="333"/>
      <c r="AC84" s="333"/>
      <c r="AD84" s="333"/>
      <c r="AE84" s="333"/>
      <c r="AF84" s="333"/>
      <c r="AG84" s="333"/>
      <c r="AH84" s="333"/>
      <c r="AI84" s="333"/>
      <c r="AJ84" s="333"/>
      <c r="AK84" s="333"/>
      <c r="AL84" s="333"/>
      <c r="AM84" s="333"/>
      <c r="AN84" s="333"/>
      <c r="AO84" s="333"/>
    </row>
    <row r="85" spans="1:41" ht="15.75" customHeight="1">
      <c r="A85" s="298" t="s">
        <v>836</v>
      </c>
      <c r="B85" s="327">
        <f>('Pivot Table for Data Exchange'!$D$402)*100</f>
        <v>0</v>
      </c>
      <c r="C85" s="327">
        <f>('Pivot Table for Data Exchange'!$D$405)*100</f>
        <v>0</v>
      </c>
      <c r="D85" s="328">
        <f>SUM(E85:G85)</f>
        <v>0</v>
      </c>
      <c r="E85" s="327">
        <f>('Pivot Table for Data Exchange'!$D$408)*100</f>
        <v>0</v>
      </c>
      <c r="F85" s="327">
        <f>('Pivot Table for Data Exchange'!$D$411)*100</f>
        <v>0</v>
      </c>
      <c r="G85" s="335">
        <f>('Pivot Table for Data Exchange'!$D$414)*100</f>
        <v>0</v>
      </c>
      <c r="H85" s="327">
        <f>('Pivot Table for Data Exchange'!$D$417)*100</f>
        <v>0</v>
      </c>
      <c r="I85" s="333" t="s">
        <v>836</v>
      </c>
      <c r="J85" s="327">
        <f>('Pivot Table for Data Exchange'!$D$420)*100</f>
        <v>0</v>
      </c>
      <c r="K85" s="327">
        <f>('Pivot Table for Data Exchange'!$D$423)*100</f>
        <v>0</v>
      </c>
      <c r="L85" s="328">
        <f>SUM(M85:O85)</f>
        <v>0</v>
      </c>
      <c r="M85" s="327">
        <f>('Pivot Table for Data Exchange'!$D$426)*100</f>
        <v>0</v>
      </c>
      <c r="N85" s="327">
        <f>('Pivot Table for Data Exchange'!$D$429)*100</f>
        <v>0</v>
      </c>
      <c r="O85" s="335">
        <f>('Pivot Table for Data Exchange'!$D$432)*100</f>
        <v>0</v>
      </c>
      <c r="P85" s="327">
        <f>('Pivot Table for Data Exchange'!$D$435)*100</f>
        <v>0</v>
      </c>
      <c r="Q85" s="332">
        <f t="shared" si="14"/>
        <v>0</v>
      </c>
      <c r="R85" s="332">
        <f t="shared" si="15"/>
        <v>0</v>
      </c>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row>
    <row r="86" spans="1:41" ht="8.25" customHeight="1">
      <c r="B86" s="327"/>
      <c r="C86" s="327"/>
      <c r="D86" s="328"/>
      <c r="E86" s="327"/>
      <c r="F86" s="327"/>
      <c r="G86" s="335"/>
      <c r="H86" s="327"/>
      <c r="I86" s="333"/>
      <c r="J86" s="327"/>
      <c r="K86" s="327"/>
      <c r="L86" s="328"/>
      <c r="M86" s="327"/>
      <c r="N86" s="327"/>
      <c r="O86" s="335"/>
      <c r="P86" s="327"/>
      <c r="Q86" s="332">
        <f t="shared" si="14"/>
        <v>0</v>
      </c>
      <c r="R86" s="332">
        <f t="shared" si="15"/>
        <v>0</v>
      </c>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row>
    <row r="87" spans="1:41" ht="15.75" customHeight="1">
      <c r="A87" s="298" t="s">
        <v>837</v>
      </c>
      <c r="B87" s="327">
        <f>('Pivot Table for Data Exchange'!$D$438)*100</f>
        <v>75.861404592197346</v>
      </c>
      <c r="C87" s="327">
        <f>('Pivot Table for Data Exchange'!$D$441)*100</f>
        <v>3.5022019954347763</v>
      </c>
      <c r="D87" s="328">
        <f>SUM(E87:G87)</f>
        <v>20.005151340920406</v>
      </c>
      <c r="E87" s="327">
        <f>('Pivot Table for Data Exchange'!$D$444)*100</f>
        <v>15.613024780180723</v>
      </c>
      <c r="F87" s="327">
        <f>('Pivot Table for Data Exchange'!$D$447)*100</f>
        <v>0.67961194583790918</v>
      </c>
      <c r="G87" s="335">
        <f>('Pivot Table for Data Exchange'!$D$450)*100</f>
        <v>3.7125146149017749</v>
      </c>
      <c r="H87" s="327">
        <f>('Pivot Table for Data Exchange'!$D$453)*100</f>
        <v>0.63124207144747602</v>
      </c>
      <c r="I87" s="333" t="s">
        <v>837</v>
      </c>
      <c r="J87" s="327">
        <f>('Pivot Table for Data Exchange'!$D$456)*100</f>
        <v>48.708176550816887</v>
      </c>
      <c r="K87" s="327">
        <f>('Pivot Table for Data Exchange'!$D$459)*100</f>
        <v>9.6671535388514336</v>
      </c>
      <c r="L87" s="328">
        <f>SUM(M87:O87)</f>
        <v>36.705971116549463</v>
      </c>
      <c r="M87" s="327">
        <f>('Pivot Table for Data Exchange'!$D$462)*100</f>
        <v>33.553554328164751</v>
      </c>
      <c r="N87" s="327">
        <f>('Pivot Table for Data Exchange'!$D$465)*100</f>
        <v>0.25826796026349136</v>
      </c>
      <c r="O87" s="335">
        <f>('Pivot Table for Data Exchange'!$D$468)*100</f>
        <v>2.8941488281212213</v>
      </c>
      <c r="P87" s="327">
        <f>('Pivot Table for Data Exchange'!$D$471)*100</f>
        <v>4.9186987937822231</v>
      </c>
      <c r="Q87" s="332">
        <f t="shared" si="14"/>
        <v>100</v>
      </c>
      <c r="R87" s="332">
        <f t="shared" si="15"/>
        <v>100.00000000000001</v>
      </c>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row>
    <row r="88" spans="1:41" ht="15.75" customHeight="1">
      <c r="A88" s="298" t="s">
        <v>838</v>
      </c>
      <c r="B88" s="327">
        <f>('Pivot Table for Data Exchange'!$D$474)*100</f>
        <v>83.63347099461609</v>
      </c>
      <c r="C88" s="327">
        <f>('Pivot Table for Data Exchange'!$D$477)*100</f>
        <v>2.2570876708522416</v>
      </c>
      <c r="D88" s="328">
        <f>SUM(E88:G88)</f>
        <v>14.10944133453167</v>
      </c>
      <c r="E88" s="327">
        <f>('Pivot Table for Data Exchange'!$D$480)*100</f>
        <v>14.081224664934734</v>
      </c>
      <c r="F88" s="327">
        <f>('Pivot Table for Data Exchange'!$D$483)*100</f>
        <v>2.5450329440375532E-2</v>
      </c>
      <c r="G88" s="334">
        <f>('Pivot Table for Data Exchange'!$D$486)*100</f>
        <v>2.766340156562558E-3</v>
      </c>
      <c r="H88" s="327">
        <f>('Pivot Table for Data Exchange'!$D$489)*100</f>
        <v>0</v>
      </c>
      <c r="I88" s="333" t="s">
        <v>838</v>
      </c>
      <c r="J88" s="327">
        <f>('Pivot Table for Data Exchange'!$D$492)*100</f>
        <v>57.493642371285517</v>
      </c>
      <c r="K88" s="327">
        <f>('Pivot Table for Data Exchange'!$D$495)*100</f>
        <v>5.395844882658853</v>
      </c>
      <c r="L88" s="328">
        <f>SUM(M88:O88)</f>
        <v>37.110512746055626</v>
      </c>
      <c r="M88" s="327">
        <f>('Pivot Table for Data Exchange'!$D$498)*100</f>
        <v>36.109131226736359</v>
      </c>
      <c r="N88" s="327">
        <f>('Pivot Table for Data Exchange'!$D$501)*100</f>
        <v>0.82627174573004936</v>
      </c>
      <c r="O88" s="334">
        <f>('Pivot Table for Data Exchange'!$D$504)*100</f>
        <v>0.17510977358922239</v>
      </c>
      <c r="P88" s="327">
        <f>('Pivot Table for Data Exchange'!$D$507)*100</f>
        <v>0</v>
      </c>
      <c r="Q88" s="332">
        <f t="shared" si="14"/>
        <v>100</v>
      </c>
      <c r="R88" s="332">
        <f t="shared" si="15"/>
        <v>100</v>
      </c>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row>
    <row r="89" spans="1:41" ht="15.75" customHeight="1">
      <c r="A89" s="298" t="s">
        <v>839</v>
      </c>
      <c r="B89" s="327">
        <f>('Pivot Table for Data Exchange'!$D$510)*100</f>
        <v>96.901220365707488</v>
      </c>
      <c r="C89" s="327">
        <f>('Pivot Table for Data Exchange'!$D$513)*100</f>
        <v>2.7496440264828208</v>
      </c>
      <c r="D89" s="328">
        <f t="shared" ref="D89" si="20">SUM(E89:G89)</f>
        <v>0.34913560780969694</v>
      </c>
      <c r="E89" s="327">
        <f>('Pivot Table for Data Exchange'!$D$516)*100</f>
        <v>0.3405547019341898</v>
      </c>
      <c r="F89" s="339">
        <f>('Pivot Table for Data Exchange'!$D$519)*100</f>
        <v>8.5809058755071457E-3</v>
      </c>
      <c r="G89" s="335">
        <f>('Pivot Table for Data Exchange'!$D$522)*100</f>
        <v>0</v>
      </c>
      <c r="H89" s="327">
        <f>('Pivot Table for Data Exchange'!$D$525)*100</f>
        <v>0</v>
      </c>
      <c r="I89" s="333" t="s">
        <v>839</v>
      </c>
      <c r="J89" s="327">
        <f>('Pivot Table for Data Exchange'!$D$528)*100</f>
        <v>82.384008502636632</v>
      </c>
      <c r="K89" s="327">
        <f>('Pivot Table for Data Exchange'!$D$531)*100</f>
        <v>8.2124024036299712</v>
      </c>
      <c r="L89" s="328">
        <f t="shared" ref="L89" si="21">SUM(M89:O89)</f>
        <v>9.4035890937333928</v>
      </c>
      <c r="M89" s="327">
        <f>('Pivot Table for Data Exchange'!$D$534)*100</f>
        <v>9.2073744021583614</v>
      </c>
      <c r="N89" s="339">
        <f>('Pivot Table for Data Exchange'!$D$537)*100</f>
        <v>0.19621469157503169</v>
      </c>
      <c r="O89" s="335">
        <f>('Pivot Table for Data Exchange'!$D$540)*100</f>
        <v>0</v>
      </c>
      <c r="P89" s="327">
        <f>('Pivot Table for Data Exchange'!$D$543)*100</f>
        <v>0</v>
      </c>
      <c r="Q89" s="332">
        <f t="shared" si="14"/>
        <v>100.00000000000001</v>
      </c>
      <c r="R89" s="332">
        <f t="shared" si="15"/>
        <v>99.999999999999986</v>
      </c>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row>
    <row r="90" spans="1:41" ht="15.75" customHeight="1">
      <c r="A90" s="304" t="s">
        <v>840</v>
      </c>
      <c r="B90" s="340">
        <f>('Pivot Table for Data Exchange'!$D$546)*100</f>
        <v>0</v>
      </c>
      <c r="C90" s="340">
        <f>('Pivot Table for Data Exchange'!$D$549)*100</f>
        <v>0</v>
      </c>
      <c r="D90" s="341">
        <f>SUM(E90:G90)</f>
        <v>0</v>
      </c>
      <c r="E90" s="340">
        <f>('Pivot Table for Data Exchange'!$D$552)*100</f>
        <v>0</v>
      </c>
      <c r="F90" s="340">
        <f>('Pivot Table for Data Exchange'!$D$555)*100</f>
        <v>0</v>
      </c>
      <c r="G90" s="342">
        <f>('Pivot Table for Data Exchange'!$D$558)*100</f>
        <v>0</v>
      </c>
      <c r="H90" s="340">
        <f>('Pivot Table for Data Exchange'!$D$561)*100</f>
        <v>0</v>
      </c>
      <c r="I90" s="343" t="s">
        <v>840</v>
      </c>
      <c r="J90" s="340">
        <f>('Pivot Table for Data Exchange'!$D$564)*100</f>
        <v>0</v>
      </c>
      <c r="K90" s="340">
        <f>('Pivot Table for Data Exchange'!$D$567)*100</f>
        <v>0</v>
      </c>
      <c r="L90" s="341">
        <f>SUM(M90:O90)</f>
        <v>0</v>
      </c>
      <c r="M90" s="340">
        <f>('Pivot Table for Data Exchange'!$D$570)*100</f>
        <v>0</v>
      </c>
      <c r="N90" s="340">
        <f>('Pivot Table for Data Exchange'!$D$573)*100</f>
        <v>0</v>
      </c>
      <c r="O90" s="342">
        <f>('Pivot Table for Data Exchange'!$D$576)*100</f>
        <v>0</v>
      </c>
      <c r="P90" s="340">
        <f>('Pivot Table for Data Exchange'!$D$579)*100</f>
        <v>0</v>
      </c>
      <c r="Q90" s="332">
        <f t="shared" si="14"/>
        <v>0</v>
      </c>
      <c r="R90" s="332">
        <f t="shared" si="15"/>
        <v>0</v>
      </c>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row>
    <row r="91" spans="1:41" s="345" customFormat="1" ht="11.25" customHeight="1">
      <c r="A91" s="346" t="s">
        <v>866</v>
      </c>
      <c r="B91" s="347"/>
      <c r="C91" s="347"/>
      <c r="D91" s="348"/>
      <c r="E91" s="347"/>
      <c r="F91" s="348"/>
      <c r="G91" s="348"/>
      <c r="H91" s="347"/>
      <c r="I91" s="346" t="s">
        <v>866</v>
      </c>
      <c r="J91" s="347"/>
      <c r="K91" s="347"/>
      <c r="L91" s="348"/>
      <c r="M91" s="347"/>
      <c r="N91" s="348"/>
      <c r="O91" s="348"/>
      <c r="P91" s="347"/>
      <c r="Q91" s="332"/>
      <c r="R91" s="332"/>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row>
    <row r="92" spans="1:41" s="345" customFormat="1" ht="10.5" customHeight="1">
      <c r="A92" s="350"/>
      <c r="B92" s="359"/>
      <c r="C92" s="359"/>
      <c r="D92" s="300"/>
      <c r="E92" s="359"/>
      <c r="F92" s="359"/>
      <c r="G92" s="359"/>
      <c r="H92" s="359"/>
      <c r="I92" s="350"/>
      <c r="J92" s="359"/>
      <c r="K92" s="359"/>
      <c r="L92" s="300"/>
      <c r="M92" s="359"/>
      <c r="N92" s="359"/>
      <c r="O92" s="359"/>
      <c r="P92" s="359"/>
      <c r="Q92" s="332"/>
      <c r="R92" s="332"/>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row>
    <row r="93" spans="1:41" s="345" customFormat="1" ht="13.5" customHeight="1">
      <c r="A93" s="356"/>
      <c r="B93" s="357"/>
      <c r="H93" s="351" t="s">
        <v>980</v>
      </c>
      <c r="I93" s="356"/>
      <c r="P93" s="351" t="s">
        <v>980</v>
      </c>
      <c r="Q93" s="332"/>
      <c r="R93" s="332"/>
    </row>
    <row r="94" spans="1:41" ht="18">
      <c r="A94" s="293" t="s">
        <v>870</v>
      </c>
      <c r="B94" s="294"/>
      <c r="C94" s="294"/>
      <c r="D94" s="294"/>
      <c r="E94" s="294"/>
      <c r="F94" s="294"/>
      <c r="G94" s="294"/>
      <c r="H94" s="294"/>
      <c r="I94" s="293" t="s">
        <v>871</v>
      </c>
      <c r="J94" s="295"/>
      <c r="K94" s="295"/>
      <c r="L94" s="294"/>
      <c r="M94" s="295"/>
      <c r="N94" s="295"/>
      <c r="O94" s="295"/>
      <c r="P94" s="295"/>
      <c r="Q94" s="332"/>
      <c r="R94" s="332"/>
    </row>
    <row r="95" spans="1:41">
      <c r="A95" s="299"/>
      <c r="B95" s="295"/>
      <c r="C95" s="295"/>
      <c r="D95" s="295"/>
      <c r="E95" s="295"/>
      <c r="F95" s="295"/>
      <c r="G95" s="295"/>
      <c r="H95" s="295"/>
      <c r="I95" s="299"/>
      <c r="J95" s="295"/>
      <c r="K95" s="295"/>
      <c r="L95" s="295"/>
      <c r="M95" s="295"/>
      <c r="N95" s="295"/>
      <c r="O95" s="295"/>
      <c r="P95" s="295"/>
      <c r="Q95" s="332"/>
      <c r="R95" s="332"/>
    </row>
    <row r="96" spans="1:41" ht="15.75">
      <c r="A96" s="301" t="s">
        <v>846</v>
      </c>
      <c r="B96" s="295"/>
      <c r="C96" s="295"/>
      <c r="D96" s="295"/>
      <c r="E96" s="295"/>
      <c r="F96" s="295"/>
      <c r="G96" s="295"/>
      <c r="H96" s="295"/>
      <c r="I96" s="301" t="s">
        <v>847</v>
      </c>
      <c r="J96" s="295"/>
      <c r="K96" s="295"/>
      <c r="L96" s="295"/>
      <c r="M96" s="295"/>
      <c r="N96" s="295"/>
      <c r="O96" s="295"/>
      <c r="P96" s="295"/>
      <c r="Q96" s="332"/>
      <c r="R96" s="332"/>
    </row>
    <row r="97" spans="1:41" ht="15.75">
      <c r="A97" s="301" t="s">
        <v>894</v>
      </c>
      <c r="B97" s="295"/>
      <c r="C97" s="295"/>
      <c r="D97" s="295"/>
      <c r="E97" s="295"/>
      <c r="F97" s="295"/>
      <c r="G97" s="295"/>
      <c r="H97" s="295"/>
      <c r="I97" s="301" t="s">
        <v>894</v>
      </c>
      <c r="J97" s="295"/>
      <c r="K97" s="295"/>
      <c r="L97" s="295"/>
      <c r="M97" s="295"/>
      <c r="N97" s="295"/>
      <c r="O97" s="295"/>
      <c r="P97" s="295"/>
      <c r="Q97" s="332"/>
      <c r="R97" s="332"/>
    </row>
    <row r="98" spans="1:41">
      <c r="A98" s="304"/>
      <c r="B98" s="305"/>
      <c r="C98" s="305"/>
      <c r="D98" s="305"/>
      <c r="E98" s="305"/>
      <c r="F98" s="305"/>
      <c r="G98" s="305"/>
      <c r="H98" s="305"/>
      <c r="I98" s="306"/>
      <c r="L98" s="307"/>
      <c r="P98" s="304"/>
      <c r="Q98" s="332"/>
      <c r="R98" s="332"/>
    </row>
    <row r="99" spans="1:41" s="314" customFormat="1">
      <c r="A99" s="309"/>
      <c r="B99" s="448" t="s">
        <v>848</v>
      </c>
      <c r="C99" s="448"/>
      <c r="D99" s="448"/>
      <c r="E99" s="448"/>
      <c r="F99" s="448"/>
      <c r="G99" s="448"/>
      <c r="H99" s="448"/>
      <c r="I99" s="309"/>
      <c r="J99" s="310" t="s">
        <v>848</v>
      </c>
      <c r="K99" s="310"/>
      <c r="L99" s="310"/>
      <c r="M99" s="310"/>
      <c r="N99" s="310"/>
      <c r="O99" s="310"/>
      <c r="P99" s="311"/>
      <c r="Q99" s="332"/>
      <c r="R99" s="332"/>
    </row>
    <row r="100" spans="1:41" s="314" customFormat="1">
      <c r="A100" s="309"/>
      <c r="B100" s="310" t="s">
        <v>849</v>
      </c>
      <c r="C100" s="310"/>
      <c r="D100" s="450" t="s">
        <v>850</v>
      </c>
      <c r="E100" s="448"/>
      <c r="F100" s="448"/>
      <c r="G100" s="448"/>
      <c r="H100" s="317" t="s">
        <v>740</v>
      </c>
      <c r="I100" s="309"/>
      <c r="J100" s="310" t="s">
        <v>849</v>
      </c>
      <c r="K100" s="310"/>
      <c r="L100" s="450" t="s">
        <v>850</v>
      </c>
      <c r="M100" s="448"/>
      <c r="N100" s="448"/>
      <c r="O100" s="448"/>
      <c r="P100" s="317" t="s">
        <v>740</v>
      </c>
      <c r="Q100" s="332"/>
      <c r="R100" s="332"/>
    </row>
    <row r="101" spans="1:41" s="314" customFormat="1" ht="40.5" customHeight="1">
      <c r="A101" s="309"/>
      <c r="B101" s="318" t="s">
        <v>851</v>
      </c>
      <c r="C101" s="319" t="s">
        <v>852</v>
      </c>
      <c r="D101" s="320" t="s">
        <v>853</v>
      </c>
      <c r="E101" s="321" t="s">
        <v>8</v>
      </c>
      <c r="F101" s="318" t="s">
        <v>854</v>
      </c>
      <c r="G101" s="322" t="s">
        <v>864</v>
      </c>
      <c r="H101" s="323" t="s">
        <v>856</v>
      </c>
      <c r="I101" s="309"/>
      <c r="J101" s="318" t="s">
        <v>851</v>
      </c>
      <c r="K101" s="319" t="s">
        <v>852</v>
      </c>
      <c r="L101" s="320" t="s">
        <v>853</v>
      </c>
      <c r="M101" s="321" t="s">
        <v>8</v>
      </c>
      <c r="N101" s="318" t="s">
        <v>854</v>
      </c>
      <c r="O101" s="322" t="s">
        <v>864</v>
      </c>
      <c r="P101" s="323" t="s">
        <v>856</v>
      </c>
      <c r="Q101" s="332"/>
      <c r="R101" s="332"/>
      <c r="T101" s="352"/>
    </row>
    <row r="102" spans="1:41" ht="15.75" customHeight="1">
      <c r="A102" s="353" t="s">
        <v>825</v>
      </c>
      <c r="B102" s="327">
        <f>('Pivot Table for Data Exchange'!$E$6)*100</f>
        <v>78.599685673733532</v>
      </c>
      <c r="C102" s="327">
        <f>('Pivot Table for Data Exchange'!$E$9)*100</f>
        <v>0.4363016639334899</v>
      </c>
      <c r="D102" s="328">
        <f>SUM(E102:G102)</f>
        <v>20.964012662332973</v>
      </c>
      <c r="E102" s="327">
        <f>('Pivot Table for Data Exchange'!$E$12)*100</f>
        <v>20.838754826825134</v>
      </c>
      <c r="F102" s="327">
        <f>('Pivot Table for Data Exchange'!$E$15)*100</f>
        <v>0.12525783550783912</v>
      </c>
      <c r="G102" s="360">
        <f>('Pivot Table for Data Exchange'!$E$18)*100</f>
        <v>0</v>
      </c>
      <c r="H102" s="327">
        <f>('Pivot Table for Data Exchange'!$E$21)*100</f>
        <v>0</v>
      </c>
      <c r="I102" s="330" t="s">
        <v>825</v>
      </c>
      <c r="J102" s="327">
        <f>('Pivot Table for Data Exchange'!$E$24)*100</f>
        <v>51.696520437751381</v>
      </c>
      <c r="K102" s="327">
        <f>('Pivot Table for Data Exchange'!$E$27)*100</f>
        <v>0.38700776353942568</v>
      </c>
      <c r="L102" s="328">
        <f>SUM(M102:O102)</f>
        <v>47.916471798709196</v>
      </c>
      <c r="M102" s="327">
        <f>('Pivot Table for Data Exchange'!$E$30)*100</f>
        <v>47.916471798709196</v>
      </c>
      <c r="N102" s="339">
        <f>('Pivot Table for Data Exchange'!$E$33)*100</f>
        <v>0</v>
      </c>
      <c r="O102" s="331">
        <f>('Pivot Table for Data Exchange'!$E$36)*100</f>
        <v>0</v>
      </c>
      <c r="P102" s="327">
        <f>('Pivot Table for Data Exchange'!$E$39)*100</f>
        <v>0</v>
      </c>
      <c r="Q102" s="332">
        <f>SUM(B102,C102,D102,H102)</f>
        <v>100</v>
      </c>
      <c r="R102" s="332">
        <f t="shared" si="15"/>
        <v>100</v>
      </c>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row>
    <row r="103" spans="1:41" ht="15.75" customHeight="1">
      <c r="A103" s="298" t="s">
        <v>826</v>
      </c>
      <c r="B103" s="327">
        <f>('Pivot Table for Data Exchange'!$E$42)*100</f>
        <v>73.883148397692338</v>
      </c>
      <c r="C103" s="327">
        <f>('Pivot Table for Data Exchange'!$E$45)*100</f>
        <v>4.4597738661725694</v>
      </c>
      <c r="D103" s="328">
        <f t="shared" ref="D103:D105" si="22">SUM(E103:G103)</f>
        <v>21.65707773613509</v>
      </c>
      <c r="E103" s="327">
        <f>('Pivot Table for Data Exchange'!$E$48)*100</f>
        <v>21.208073651408597</v>
      </c>
      <c r="F103" s="327">
        <f>('Pivot Table for Data Exchange'!$E$51)*100</f>
        <v>0.18291784225375837</v>
      </c>
      <c r="G103" s="335">
        <f>('Pivot Table for Data Exchange'!$E$54)*100</f>
        <v>0.26608624247273338</v>
      </c>
      <c r="H103" s="339">
        <f>('Pivot Table for Data Exchange'!$E$57)*100</f>
        <v>0</v>
      </c>
      <c r="I103" s="333" t="s">
        <v>826</v>
      </c>
      <c r="J103" s="327">
        <f>('Pivot Table for Data Exchange'!$E$60)*100</f>
        <v>31.324086089464732</v>
      </c>
      <c r="K103" s="327">
        <f>('Pivot Table for Data Exchange'!$E$63)*100</f>
        <v>0.2111222424678442</v>
      </c>
      <c r="L103" s="328">
        <f t="shared" ref="L103:L105" si="23">SUM(M103:O103)</f>
        <v>68.46479166806742</v>
      </c>
      <c r="M103" s="327">
        <f>('Pivot Table for Data Exchange'!$E$66)*100</f>
        <v>64.853525539740062</v>
      </c>
      <c r="N103" s="327">
        <f>('Pivot Table for Data Exchange'!$E$69)*100</f>
        <v>3.2239845625264745</v>
      </c>
      <c r="O103" s="335">
        <f>('Pivot Table for Data Exchange'!$E$72)*100</f>
        <v>0.38728156580088618</v>
      </c>
      <c r="P103" s="327">
        <f>('Pivot Table for Data Exchange'!$E$75)*100</f>
        <v>0</v>
      </c>
      <c r="Q103" s="332">
        <f t="shared" si="14"/>
        <v>100</v>
      </c>
      <c r="R103" s="332">
        <f t="shared" si="15"/>
        <v>100</v>
      </c>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row>
    <row r="104" spans="1:41" ht="15.75" customHeight="1">
      <c r="A104" s="298" t="s">
        <v>827</v>
      </c>
      <c r="B104" s="327">
        <f>('Pivot Table for Data Exchange'!$E$78)*100</f>
        <v>94.523824969995786</v>
      </c>
      <c r="C104" s="327">
        <f>('Pivot Table for Data Exchange'!$E$81)*100</f>
        <v>0</v>
      </c>
      <c r="D104" s="328">
        <f t="shared" si="22"/>
        <v>5.4761750300042173</v>
      </c>
      <c r="E104" s="327">
        <f>('Pivot Table for Data Exchange'!$E$84)*100</f>
        <v>5.4761750300042173</v>
      </c>
      <c r="F104" s="327">
        <f>('Pivot Table for Data Exchange'!$E$87)*100</f>
        <v>0</v>
      </c>
      <c r="G104" s="335">
        <f>('Pivot Table for Data Exchange'!$E$90)*100</f>
        <v>0</v>
      </c>
      <c r="H104" s="327">
        <f>('Pivot Table for Data Exchange'!$E$93)*100</f>
        <v>0</v>
      </c>
      <c r="I104" s="333" t="s">
        <v>827</v>
      </c>
      <c r="J104" s="327">
        <f>('Pivot Table for Data Exchange'!$E$96)*100</f>
        <v>87.196428571428569</v>
      </c>
      <c r="K104" s="327">
        <f>('Pivot Table for Data Exchange'!$E$99)*100</f>
        <v>0</v>
      </c>
      <c r="L104" s="328">
        <f t="shared" si="23"/>
        <v>12.803571428571429</v>
      </c>
      <c r="M104" s="327">
        <f>('Pivot Table for Data Exchange'!$E$102)*100</f>
        <v>12.803571428571429</v>
      </c>
      <c r="N104" s="327">
        <f>('Pivot Table for Data Exchange'!$E$105)*100</f>
        <v>0</v>
      </c>
      <c r="O104" s="335">
        <f>('Pivot Table for Data Exchange'!$E$108)*100</f>
        <v>0</v>
      </c>
      <c r="P104" s="327">
        <f>('Pivot Table for Data Exchange'!$E$111)*100</f>
        <v>0</v>
      </c>
      <c r="Q104" s="332">
        <f t="shared" si="14"/>
        <v>100</v>
      </c>
      <c r="R104" s="332">
        <f t="shared" si="15"/>
        <v>100</v>
      </c>
      <c r="S104" s="333"/>
      <c r="T104" s="307"/>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row>
    <row r="105" spans="1:41" ht="15.75" customHeight="1">
      <c r="A105" s="298" t="s">
        <v>865</v>
      </c>
      <c r="B105" s="327">
        <f>('Pivot Table for Data Exchange'!$E$114)*100</f>
        <v>0</v>
      </c>
      <c r="C105" s="327">
        <f>('Pivot Table for Data Exchange'!$E$117)*100</f>
        <v>0</v>
      </c>
      <c r="D105" s="328">
        <f t="shared" si="22"/>
        <v>0</v>
      </c>
      <c r="E105" s="327">
        <f>('Pivot Table for Data Exchange'!$E$120)*100</f>
        <v>0</v>
      </c>
      <c r="F105" s="327">
        <f>('Pivot Table for Data Exchange'!$E$123)*100</f>
        <v>0</v>
      </c>
      <c r="G105" s="335">
        <f>('Pivot Table for Data Exchange'!$E$126)*100</f>
        <v>0</v>
      </c>
      <c r="H105" s="327">
        <f>('Pivot Table for Data Exchange'!$E$129)*100</f>
        <v>0</v>
      </c>
      <c r="I105" s="333" t="s">
        <v>865</v>
      </c>
      <c r="J105" s="327">
        <f>('Pivot Table for Data Exchange'!$E$132)*100</f>
        <v>0</v>
      </c>
      <c r="K105" s="327">
        <f>('Pivot Table for Data Exchange'!$E$135)*100</f>
        <v>0</v>
      </c>
      <c r="L105" s="328">
        <f t="shared" si="23"/>
        <v>0</v>
      </c>
      <c r="M105" s="327">
        <f>('Pivot Table for Data Exchange'!$E$138)*100</f>
        <v>0</v>
      </c>
      <c r="N105" s="327">
        <f>('Pivot Table for Data Exchange'!$E$141)*100</f>
        <v>0</v>
      </c>
      <c r="O105" s="335">
        <f>('Pivot Table for Data Exchange'!$E$144)*100</f>
        <v>0</v>
      </c>
      <c r="P105" s="327">
        <f>('Pivot Table for Data Exchange'!$E$147)*100</f>
        <v>0</v>
      </c>
      <c r="Q105" s="332">
        <f t="shared" si="14"/>
        <v>0</v>
      </c>
      <c r="R105" s="332">
        <f t="shared" si="15"/>
        <v>0</v>
      </c>
      <c r="S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row>
    <row r="106" spans="1:41" ht="11.25" customHeight="1">
      <c r="B106" s="327"/>
      <c r="C106" s="327"/>
      <c r="D106" s="328"/>
      <c r="E106" s="327"/>
      <c r="F106" s="327"/>
      <c r="G106" s="335"/>
      <c r="H106" s="327"/>
      <c r="I106" s="333"/>
      <c r="J106" s="327"/>
      <c r="K106" s="327"/>
      <c r="L106" s="328"/>
      <c r="M106" s="327"/>
      <c r="N106" s="327"/>
      <c r="O106" s="335"/>
      <c r="P106" s="327"/>
      <c r="Q106" s="332">
        <f t="shared" si="14"/>
        <v>0</v>
      </c>
      <c r="R106" s="332">
        <f t="shared" si="15"/>
        <v>0</v>
      </c>
      <c r="S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row>
    <row r="107" spans="1:41" ht="15.75" customHeight="1">
      <c r="A107" s="298" t="s">
        <v>829</v>
      </c>
      <c r="B107" s="327">
        <f>('Pivot Table for Data Exchange'!$E$150)*100</f>
        <v>76.291649046360263</v>
      </c>
      <c r="C107" s="327">
        <f>('Pivot Table for Data Exchange'!$E$153)*100</f>
        <v>0.99245232324066579</v>
      </c>
      <c r="D107" s="328">
        <f t="shared" ref="D107:D110" si="24">SUM(E107:G107)</f>
        <v>22.715898630399067</v>
      </c>
      <c r="E107" s="327">
        <f>('Pivot Table for Data Exchange'!$E$156)*100</f>
        <v>22.700844049703118</v>
      </c>
      <c r="F107" s="327">
        <f>('Pivot Table for Data Exchange'!$E$159)*100</f>
        <v>1.1918209717627293E-2</v>
      </c>
      <c r="G107" s="335">
        <f>('Pivot Table for Data Exchange'!$E$162)*100</f>
        <v>3.136370978322972E-3</v>
      </c>
      <c r="H107" s="327">
        <f>('Pivot Table for Data Exchange'!$E$165)*100</f>
        <v>0</v>
      </c>
      <c r="I107" s="333" t="s">
        <v>829</v>
      </c>
      <c r="J107" s="327">
        <f>('Pivot Table for Data Exchange'!$E$168)*100</f>
        <v>32.629782794167994</v>
      </c>
      <c r="K107" s="327">
        <f>('Pivot Table for Data Exchange'!$E$171)*100</f>
        <v>1.3542079893923997</v>
      </c>
      <c r="L107" s="328">
        <f t="shared" ref="L107:L110" si="25">SUM(M107:O107)</f>
        <v>66.016009216439599</v>
      </c>
      <c r="M107" s="327">
        <f>('Pivot Table for Data Exchange'!$E$174)*100</f>
        <v>65.972535444709507</v>
      </c>
      <c r="N107" s="327">
        <f>('Pivot Table for Data Exchange'!$E$177)*100</f>
        <v>1.1411865079149435E-2</v>
      </c>
      <c r="O107" s="335">
        <f>('Pivot Table for Data Exchange'!$E$180)*100</f>
        <v>3.2061906650943654E-2</v>
      </c>
      <c r="P107" s="327">
        <f>('Pivot Table for Data Exchange'!$E$183)*100</f>
        <v>0</v>
      </c>
      <c r="Q107" s="332">
        <f t="shared" si="14"/>
        <v>100</v>
      </c>
      <c r="R107" s="332">
        <f t="shared" si="15"/>
        <v>100</v>
      </c>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row>
    <row r="108" spans="1:41" ht="15.75" customHeight="1">
      <c r="A108" s="298" t="s">
        <v>830</v>
      </c>
      <c r="B108" s="327">
        <f>('Pivot Table for Data Exchange'!$E$186)*100</f>
        <v>74.169271534794561</v>
      </c>
      <c r="C108" s="327">
        <f>('Pivot Table for Data Exchange'!$E$189)*100</f>
        <v>6.2161027831893607</v>
      </c>
      <c r="D108" s="328">
        <f t="shared" si="24"/>
        <v>19.614625682016076</v>
      </c>
      <c r="E108" s="327">
        <f>('Pivot Table for Data Exchange'!$E$192)*100</f>
        <v>18.135519960911317</v>
      </c>
      <c r="F108" s="327">
        <f>('Pivot Table for Data Exchange'!$E$195)*100</f>
        <v>1.4442140606500999</v>
      </c>
      <c r="G108" s="335">
        <f>('Pivot Table for Data Exchange'!$E$198)*100</f>
        <v>3.4891660454656498E-2</v>
      </c>
      <c r="H108" s="327">
        <f>('Pivot Table for Data Exchange'!$E$201)*100</f>
        <v>0</v>
      </c>
      <c r="I108" s="333" t="s">
        <v>830</v>
      </c>
      <c r="J108" s="327">
        <f>('Pivot Table for Data Exchange'!$E$204)*100</f>
        <v>45.975314664219106</v>
      </c>
      <c r="K108" s="327">
        <f>('Pivot Table for Data Exchange'!$E$207)*100</f>
        <v>2.8401614880520665</v>
      </c>
      <c r="L108" s="328">
        <f t="shared" si="25"/>
        <v>51.184523847728833</v>
      </c>
      <c r="M108" s="327">
        <f>('Pivot Table for Data Exchange'!$E$210)*100</f>
        <v>50.491331891322908</v>
      </c>
      <c r="N108" s="327">
        <f>('Pivot Table for Data Exchange'!$E$213)*100</f>
        <v>0.46469534855360362</v>
      </c>
      <c r="O108" s="334">
        <f>('Pivot Table for Data Exchange'!$E$216)*100</f>
        <v>0.22849660785232445</v>
      </c>
      <c r="P108" s="327">
        <f>('Pivot Table for Data Exchange'!$E$219)*100</f>
        <v>0</v>
      </c>
      <c r="Q108" s="332">
        <f t="shared" si="14"/>
        <v>100</v>
      </c>
      <c r="R108" s="332">
        <f t="shared" si="15"/>
        <v>100</v>
      </c>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row>
    <row r="109" spans="1:41" ht="15.75" customHeight="1">
      <c r="A109" s="298" t="s">
        <v>831</v>
      </c>
      <c r="B109" s="327">
        <f>('Pivot Table for Data Exchange'!$E$222)*100</f>
        <v>80.361422086224962</v>
      </c>
      <c r="C109" s="327">
        <f>('Pivot Table for Data Exchange'!$E$225)*100</f>
        <v>0</v>
      </c>
      <c r="D109" s="328">
        <f t="shared" si="24"/>
        <v>19.63857791377503</v>
      </c>
      <c r="E109" s="327">
        <f>('Pivot Table for Data Exchange'!$E$228)*100</f>
        <v>19.63857791377503</v>
      </c>
      <c r="F109" s="327">
        <f>('Pivot Table for Data Exchange'!$E$231)*100</f>
        <v>0</v>
      </c>
      <c r="G109" s="335">
        <f>('Pivot Table for Data Exchange'!$E$234)*100</f>
        <v>0</v>
      </c>
      <c r="H109" s="327">
        <f>('Pivot Table for Data Exchange'!$E$237)*100</f>
        <v>0</v>
      </c>
      <c r="I109" s="333" t="s">
        <v>831</v>
      </c>
      <c r="J109" s="327">
        <f>('Pivot Table for Data Exchange'!$E$240)*100</f>
        <v>61.226579653268388</v>
      </c>
      <c r="K109" s="327">
        <f>('Pivot Table for Data Exchange'!$E$243)*100</f>
        <v>0</v>
      </c>
      <c r="L109" s="328">
        <f t="shared" si="25"/>
        <v>38.773420346731605</v>
      </c>
      <c r="M109" s="327">
        <f>('Pivot Table for Data Exchange'!$E$246)*100</f>
        <v>38.773420346731605</v>
      </c>
      <c r="N109" s="327">
        <f>('Pivot Table for Data Exchange'!$E$249)*100</f>
        <v>0</v>
      </c>
      <c r="O109" s="335">
        <f>('Pivot Table for Data Exchange'!$E$252)*100</f>
        <v>0</v>
      </c>
      <c r="P109" s="327">
        <f>('Pivot Table for Data Exchange'!$E$255)*100</f>
        <v>0</v>
      </c>
      <c r="Q109" s="332">
        <f t="shared" si="14"/>
        <v>100</v>
      </c>
      <c r="R109" s="332">
        <f t="shared" si="15"/>
        <v>100</v>
      </c>
      <c r="S109" s="333"/>
      <c r="T109" s="307"/>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row>
    <row r="110" spans="1:41" ht="15.75" customHeight="1">
      <c r="A110" s="298" t="s">
        <v>832</v>
      </c>
      <c r="B110" s="327">
        <f>('Pivot Table for Data Exchange'!$E$258)*100</f>
        <v>84.56782053963606</v>
      </c>
      <c r="C110" s="327">
        <f>('Pivot Table for Data Exchange'!$E$261)*100</f>
        <v>2.0800107195147457</v>
      </c>
      <c r="D110" s="328">
        <f t="shared" si="24"/>
        <v>13.352168740849194</v>
      </c>
      <c r="E110" s="327">
        <f>('Pivot Table for Data Exchange'!$E$264)*100</f>
        <v>13.335991424388203</v>
      </c>
      <c r="F110" s="327">
        <f>('Pivot Table for Data Exchange'!$E$267)*100</f>
        <v>1.6177316460991426E-2</v>
      </c>
      <c r="G110" s="335">
        <f>('Pivot Table for Data Exchange'!$E$270)*100</f>
        <v>0</v>
      </c>
      <c r="H110" s="327">
        <f>('Pivot Table for Data Exchange'!$E$273)*100</f>
        <v>0</v>
      </c>
      <c r="I110" s="333" t="s">
        <v>832</v>
      </c>
      <c r="J110" s="327">
        <f>('Pivot Table for Data Exchange'!$E$276)*100</f>
        <v>67.918562766065563</v>
      </c>
      <c r="K110" s="327">
        <f>('Pivot Table for Data Exchange'!$E$279)*100</f>
        <v>8.7828453347485862</v>
      </c>
      <c r="L110" s="328">
        <f t="shared" si="25"/>
        <v>23.298591899185855</v>
      </c>
      <c r="M110" s="327">
        <f>('Pivot Table for Data Exchange'!$E$282)*100</f>
        <v>23.285041610677627</v>
      </c>
      <c r="N110" s="327">
        <f>('Pivot Table for Data Exchange'!$E$285)*100</f>
        <v>1.3550288508226154E-2</v>
      </c>
      <c r="O110" s="335">
        <f>('Pivot Table for Data Exchange'!$E$288)*100</f>
        <v>0</v>
      </c>
      <c r="P110" s="327">
        <f>('Pivot Table for Data Exchange'!$E$291)*100</f>
        <v>0</v>
      </c>
      <c r="Q110" s="332">
        <f t="shared" si="14"/>
        <v>100</v>
      </c>
      <c r="R110" s="332">
        <f t="shared" si="15"/>
        <v>100</v>
      </c>
      <c r="S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row>
    <row r="111" spans="1:41" ht="11.25" customHeight="1">
      <c r="B111" s="327"/>
      <c r="C111" s="327"/>
      <c r="D111" s="328"/>
      <c r="E111" s="327"/>
      <c r="F111" s="327"/>
      <c r="G111" s="335"/>
      <c r="H111" s="327"/>
      <c r="I111" s="333"/>
      <c r="J111" s="327"/>
      <c r="K111" s="327"/>
      <c r="L111" s="328"/>
      <c r="M111" s="327"/>
      <c r="N111" s="327"/>
      <c r="O111" s="335"/>
      <c r="P111" s="327"/>
      <c r="Q111" s="332">
        <f t="shared" si="14"/>
        <v>0</v>
      </c>
      <c r="R111" s="332">
        <f t="shared" si="15"/>
        <v>0</v>
      </c>
      <c r="S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row>
    <row r="112" spans="1:41" ht="15.75" customHeight="1">
      <c r="A112" s="298" t="s">
        <v>833</v>
      </c>
      <c r="B112" s="327">
        <f>('Pivot Table for Data Exchange'!$E$294)*100</f>
        <v>0</v>
      </c>
      <c r="C112" s="327">
        <f>('Pivot Table for Data Exchange'!$E$297)*100</f>
        <v>0</v>
      </c>
      <c r="D112" s="328">
        <f t="shared" ref="D112:D114" si="26">SUM(E112:G112)</f>
        <v>0</v>
      </c>
      <c r="E112" s="327">
        <f>('Pivot Table for Data Exchange'!$E$300)*100</f>
        <v>0</v>
      </c>
      <c r="F112" s="327">
        <f>('Pivot Table for Data Exchange'!$E$303)*100</f>
        <v>0</v>
      </c>
      <c r="G112" s="335">
        <f>('Pivot Table for Data Exchange'!$E$306)*100</f>
        <v>0</v>
      </c>
      <c r="H112" s="327">
        <f>('Pivot Table for Data Exchange'!$E$309)*100</f>
        <v>0</v>
      </c>
      <c r="I112" s="333" t="s">
        <v>833</v>
      </c>
      <c r="J112" s="327">
        <f>('Pivot Table for Data Exchange'!$E$312)*100</f>
        <v>0</v>
      </c>
      <c r="K112" s="327">
        <f>('Pivot Table for Data Exchange'!$E$315)*100</f>
        <v>0</v>
      </c>
      <c r="L112" s="328">
        <f t="shared" ref="L112:L114" si="27">SUM(M112:O112)</f>
        <v>0</v>
      </c>
      <c r="M112" s="327">
        <f>('Pivot Table for Data Exchange'!$E$318)*100</f>
        <v>0</v>
      </c>
      <c r="N112" s="327">
        <f>('Pivot Table for Data Exchange'!$E$321)*100</f>
        <v>0</v>
      </c>
      <c r="O112" s="335">
        <f>('Pivot Table for Data Exchange'!$E$324)*100</f>
        <v>0</v>
      </c>
      <c r="P112" s="327">
        <f>('Pivot Table for Data Exchange'!$E$327)*100</f>
        <v>0</v>
      </c>
      <c r="Q112" s="332">
        <f t="shared" si="14"/>
        <v>0</v>
      </c>
      <c r="R112" s="332">
        <f t="shared" si="15"/>
        <v>0</v>
      </c>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row>
    <row r="113" spans="1:41" ht="15.75" customHeight="1">
      <c r="A113" s="298" t="s">
        <v>834</v>
      </c>
      <c r="B113" s="327">
        <f>('Pivot Table for Data Exchange'!$E$330)*100</f>
        <v>84.198938658423614</v>
      </c>
      <c r="C113" s="327">
        <f>('Pivot Table for Data Exchange'!$E$333)*100</f>
        <v>0.81136515906820605</v>
      </c>
      <c r="D113" s="328">
        <f t="shared" si="26"/>
        <v>14.989696182508181</v>
      </c>
      <c r="E113" s="327">
        <f>('Pivot Table for Data Exchange'!$E$336)*100</f>
        <v>14.978328120956174</v>
      </c>
      <c r="F113" s="339">
        <f>('Pivot Table for Data Exchange'!$E$339)*100</f>
        <v>1.1368061552006464E-2</v>
      </c>
      <c r="G113" s="334">
        <f>('Pivot Table for Data Exchange'!$E$342)*100</f>
        <v>0</v>
      </c>
      <c r="H113" s="327">
        <f>('Pivot Table for Data Exchange'!$E$345)*100</f>
        <v>0</v>
      </c>
      <c r="I113" s="333" t="s">
        <v>834</v>
      </c>
      <c r="J113" s="327">
        <f>('Pivot Table for Data Exchange'!$E$348)*100</f>
        <v>59.443927945241384</v>
      </c>
      <c r="K113" s="327">
        <f>('Pivot Table for Data Exchange'!$E$351)*100</f>
        <v>5.9095134993479634</v>
      </c>
      <c r="L113" s="328">
        <f t="shared" si="27"/>
        <v>34.646558555410657</v>
      </c>
      <c r="M113" s="327">
        <f>('Pivot Table for Data Exchange'!$E$354)*100</f>
        <v>34.549220987477149</v>
      </c>
      <c r="N113" s="339">
        <f>('Pivot Table for Data Exchange'!$E$357)*100</f>
        <v>9.7337567933510949E-2</v>
      </c>
      <c r="O113" s="335">
        <f>('Pivot Table for Data Exchange'!$E$360)*100</f>
        <v>0</v>
      </c>
      <c r="P113" s="327">
        <f>('Pivot Table for Data Exchange'!$E$363)*100</f>
        <v>0</v>
      </c>
      <c r="Q113" s="332">
        <f t="shared" si="14"/>
        <v>100</v>
      </c>
      <c r="R113" s="332">
        <f t="shared" si="15"/>
        <v>100</v>
      </c>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row>
    <row r="114" spans="1:41" ht="15.75" customHeight="1">
      <c r="A114" s="298" t="s">
        <v>835</v>
      </c>
      <c r="B114" s="327">
        <f>('Pivot Table for Data Exchange'!$E$366)*100</f>
        <v>75.337371487813542</v>
      </c>
      <c r="C114" s="327">
        <f>('Pivot Table for Data Exchange'!$E$369)*100</f>
        <v>0.71765236673610244</v>
      </c>
      <c r="D114" s="328">
        <f t="shared" si="26"/>
        <v>23.871444616167334</v>
      </c>
      <c r="E114" s="327">
        <f>('Pivot Table for Data Exchange'!$E$372)*100</f>
        <v>22.666333886899675</v>
      </c>
      <c r="F114" s="327">
        <f>('Pivot Table for Data Exchange'!$E$375)*100</f>
        <v>0.45078859205360317</v>
      </c>
      <c r="G114" s="335">
        <f>('Pivot Table for Data Exchange'!$E$378)*100</f>
        <v>0.75432213721405739</v>
      </c>
      <c r="H114" s="327">
        <f>('Pivot Table for Data Exchange'!$E$381)*100</f>
        <v>7.3531529283019592E-2</v>
      </c>
      <c r="I114" s="333" t="s">
        <v>835</v>
      </c>
      <c r="J114" s="327">
        <f>('Pivot Table for Data Exchange'!$E$384)*100</f>
        <v>78.228059109749509</v>
      </c>
      <c r="K114" s="327">
        <f>('Pivot Table for Data Exchange'!$E$387)*100</f>
        <v>0.58118579924310687</v>
      </c>
      <c r="L114" s="328">
        <f t="shared" si="27"/>
        <v>21.190755091007389</v>
      </c>
      <c r="M114" s="327">
        <f>('Pivot Table for Data Exchange'!$E$390)*100</f>
        <v>15.694269237700487</v>
      </c>
      <c r="N114" s="327">
        <f>('Pivot Table for Data Exchange'!$E$393)*100</f>
        <v>1.0519913497927553</v>
      </c>
      <c r="O114" s="335">
        <f>('Pivot Table for Data Exchange'!$E$396)*100</f>
        <v>4.4444945035141465</v>
      </c>
      <c r="P114" s="327">
        <f>('Pivot Table for Data Exchange'!$E$399)*100</f>
        <v>0</v>
      </c>
      <c r="Q114" s="332">
        <f t="shared" si="14"/>
        <v>100</v>
      </c>
      <c r="R114" s="332">
        <f t="shared" si="15"/>
        <v>100</v>
      </c>
      <c r="S114" s="333"/>
      <c r="T114" s="307"/>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row>
    <row r="115" spans="1:41" ht="15.75" customHeight="1">
      <c r="A115" s="298" t="s">
        <v>836</v>
      </c>
      <c r="B115" s="327">
        <f>('Pivot Table for Data Exchange'!$E$402)*100</f>
        <v>91.843067511373661</v>
      </c>
      <c r="C115" s="327">
        <f>('Pivot Table for Data Exchange'!$E$405)*100</f>
        <v>1.2427081296283313</v>
      </c>
      <c r="D115" s="328">
        <f>SUM(E115:G115)</f>
        <v>6.9142243589980108</v>
      </c>
      <c r="E115" s="327">
        <f>('Pivot Table for Data Exchange'!$E$408)*100</f>
        <v>6.9142243589980108</v>
      </c>
      <c r="F115" s="339">
        <f>('Pivot Table for Data Exchange'!$E$411)*100</f>
        <v>0</v>
      </c>
      <c r="G115" s="335">
        <f>('Pivot Table for Data Exchange'!$E$414)*100</f>
        <v>0</v>
      </c>
      <c r="H115" s="327">
        <f>('Pivot Table for Data Exchange'!$E$417)*100</f>
        <v>0</v>
      </c>
      <c r="I115" s="333" t="s">
        <v>836</v>
      </c>
      <c r="J115" s="327">
        <f>('Pivot Table for Data Exchange'!$E$420)*100</f>
        <v>59.485008818342152</v>
      </c>
      <c r="K115" s="327">
        <f>('Pivot Table for Data Exchange'!$E$423)*100</f>
        <v>13.9564961787184</v>
      </c>
      <c r="L115" s="328">
        <f>SUM(M115:O115)</f>
        <v>26.558495002939448</v>
      </c>
      <c r="M115" s="327">
        <f>('Pivot Table for Data Exchange'!$E$426)*100</f>
        <v>26.558495002939448</v>
      </c>
      <c r="N115" s="327">
        <f>('Pivot Table for Data Exchange'!$E$429)*100</f>
        <v>0</v>
      </c>
      <c r="O115" s="334">
        <f>('Pivot Table for Data Exchange'!$E$432)*100</f>
        <v>0</v>
      </c>
      <c r="P115" s="327">
        <f>('Pivot Table for Data Exchange'!$E$435)*100</f>
        <v>0</v>
      </c>
      <c r="Q115" s="332">
        <f t="shared" si="14"/>
        <v>100</v>
      </c>
      <c r="R115" s="332">
        <f t="shared" si="15"/>
        <v>100</v>
      </c>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row>
    <row r="116" spans="1:41" ht="11.25" customHeight="1">
      <c r="B116" s="327"/>
      <c r="C116" s="327"/>
      <c r="D116" s="328"/>
      <c r="E116" s="327"/>
      <c r="F116" s="327"/>
      <c r="G116" s="335"/>
      <c r="H116" s="327"/>
      <c r="I116" s="333"/>
      <c r="J116" s="327"/>
      <c r="K116" s="327"/>
      <c r="L116" s="328"/>
      <c r="M116" s="327"/>
      <c r="N116" s="327"/>
      <c r="O116" s="335"/>
      <c r="P116" s="327"/>
      <c r="Q116" s="332">
        <f t="shared" si="14"/>
        <v>0</v>
      </c>
      <c r="R116" s="332">
        <f t="shared" si="15"/>
        <v>0</v>
      </c>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row>
    <row r="117" spans="1:41" ht="15.75" customHeight="1">
      <c r="A117" s="298" t="s">
        <v>837</v>
      </c>
      <c r="B117" s="327">
        <f>('Pivot Table for Data Exchange'!$E$438)*100</f>
        <v>69.138411108629143</v>
      </c>
      <c r="C117" s="327">
        <f>('Pivot Table for Data Exchange'!$E$441)*100</f>
        <v>2.2145569587374481</v>
      </c>
      <c r="D117" s="328">
        <f>SUM(E117:G117)</f>
        <v>27.823780902757935</v>
      </c>
      <c r="E117" s="327">
        <f>('Pivot Table for Data Exchange'!$E$444)*100</f>
        <v>17.125803250925976</v>
      </c>
      <c r="F117" s="327">
        <f>('Pivot Table for Data Exchange'!$E$447)*100</f>
        <v>0</v>
      </c>
      <c r="G117" s="335">
        <f>('Pivot Table for Data Exchange'!$E$450)*100</f>
        <v>10.697977651831959</v>
      </c>
      <c r="H117" s="327">
        <f>('Pivot Table for Data Exchange'!$E$453)*100</f>
        <v>0.82325102987547993</v>
      </c>
      <c r="I117" s="333" t="s">
        <v>837</v>
      </c>
      <c r="J117" s="327">
        <f>('Pivot Table for Data Exchange'!$E$456)*100</f>
        <v>43.463491445657368</v>
      </c>
      <c r="K117" s="327">
        <f>('Pivot Table for Data Exchange'!$E$459)*100</f>
        <v>0.3414660037862034</v>
      </c>
      <c r="L117" s="328">
        <f>SUM(M117:O117)</f>
        <v>53.173156879743814</v>
      </c>
      <c r="M117" s="327">
        <f>('Pivot Table for Data Exchange'!$E$462)*100</f>
        <v>49.792112666088713</v>
      </c>
      <c r="N117" s="327">
        <f>('Pivot Table for Data Exchange'!$E$465)*100</f>
        <v>1.061552343376798E-2</v>
      </c>
      <c r="O117" s="335">
        <f>('Pivot Table for Data Exchange'!$E$468)*100</f>
        <v>3.3704286902213338</v>
      </c>
      <c r="P117" s="327">
        <f>('Pivot Table for Data Exchange'!$E$471)*100</f>
        <v>3.0218856708126181</v>
      </c>
      <c r="Q117" s="332">
        <f t="shared" si="14"/>
        <v>100</v>
      </c>
      <c r="R117" s="332">
        <f t="shared" si="15"/>
        <v>100</v>
      </c>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row>
    <row r="118" spans="1:41" ht="15.75" customHeight="1">
      <c r="A118" s="298" t="s">
        <v>838</v>
      </c>
      <c r="B118" s="327">
        <f>('Pivot Table for Data Exchange'!$E$474)*100</f>
        <v>75.527901208249233</v>
      </c>
      <c r="C118" s="327">
        <f>('Pivot Table for Data Exchange'!$E$477)*100</f>
        <v>2.041876794553219</v>
      </c>
      <c r="D118" s="328">
        <f>SUM(E118:G118)</f>
        <v>22.430221997197556</v>
      </c>
      <c r="E118" s="327">
        <f>('Pivot Table for Data Exchange'!$E$480)*100</f>
        <v>21.207267211117799</v>
      </c>
      <c r="F118" s="327">
        <f>('Pivot Table for Data Exchange'!$E$483)*100</f>
        <v>0.57877232759150332</v>
      </c>
      <c r="G118" s="335">
        <f>('Pivot Table for Data Exchange'!$E$486)*100</f>
        <v>0.64418245848825373</v>
      </c>
      <c r="H118" s="327">
        <f>('Pivot Table for Data Exchange'!$E$489)*100</f>
        <v>0</v>
      </c>
      <c r="I118" s="333" t="s">
        <v>838</v>
      </c>
      <c r="J118" s="327">
        <f>('Pivot Table for Data Exchange'!$E$492)*100</f>
        <v>35.812079334132093</v>
      </c>
      <c r="K118" s="327">
        <f>('Pivot Table for Data Exchange'!$E$495)*100</f>
        <v>2.7828804076836695</v>
      </c>
      <c r="L118" s="328">
        <f>SUM(M118:O118)</f>
        <v>61.405040258184236</v>
      </c>
      <c r="M118" s="327">
        <f>('Pivot Table for Data Exchange'!$E$498)*100</f>
        <v>59.61058462890351</v>
      </c>
      <c r="N118" s="327">
        <f>('Pivot Table for Data Exchange'!$E$501)*100</f>
        <v>0.57536467945929304</v>
      </c>
      <c r="O118" s="335">
        <f>('Pivot Table for Data Exchange'!$E$504)*100</f>
        <v>1.219090949821436</v>
      </c>
      <c r="P118" s="327">
        <f>('Pivot Table for Data Exchange'!$E$507)*100</f>
        <v>0</v>
      </c>
      <c r="Q118" s="332">
        <f t="shared" si="14"/>
        <v>100</v>
      </c>
      <c r="R118" s="332">
        <f t="shared" si="15"/>
        <v>100</v>
      </c>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row>
    <row r="119" spans="1:41" ht="15.75" customHeight="1">
      <c r="A119" s="298" t="s">
        <v>839</v>
      </c>
      <c r="B119" s="327">
        <f>('Pivot Table for Data Exchange'!$E$510)*100</f>
        <v>90.040973204681791</v>
      </c>
      <c r="C119" s="327">
        <f>('Pivot Table for Data Exchange'!$E$513)*100</f>
        <v>1.4754182748046711</v>
      </c>
      <c r="D119" s="328">
        <f t="shared" ref="D119" si="28">SUM(E119:G119)</f>
        <v>8.4836085205135312</v>
      </c>
      <c r="E119" s="327">
        <f>('Pivot Table for Data Exchange'!$E$516)*100</f>
        <v>8.3595737106097285</v>
      </c>
      <c r="F119" s="327">
        <f>('Pivot Table for Data Exchange'!$E$519)*100</f>
        <v>0.12403480990380338</v>
      </c>
      <c r="G119" s="335">
        <f>('Pivot Table for Data Exchange'!$E$522)*100</f>
        <v>0</v>
      </c>
      <c r="H119" s="327">
        <f>('Pivot Table for Data Exchange'!$E$525)*100</f>
        <v>0</v>
      </c>
      <c r="I119" s="333" t="s">
        <v>839</v>
      </c>
      <c r="J119" s="327">
        <f>('Pivot Table for Data Exchange'!$E$528)*100</f>
        <v>66.527671892781768</v>
      </c>
      <c r="K119" s="327">
        <f>('Pivot Table for Data Exchange'!$E$531)*100</f>
        <v>10.752759455069775</v>
      </c>
      <c r="L119" s="328">
        <f t="shared" ref="L119" si="29">SUM(M119:O119)</f>
        <v>22.719568652148453</v>
      </c>
      <c r="M119" s="327">
        <f>('Pivot Table for Data Exchange'!$E$534)*100</f>
        <v>20.565039168241132</v>
      </c>
      <c r="N119" s="327">
        <f>('Pivot Table for Data Exchange'!$E$537)*100</f>
        <v>2.1545294839073219</v>
      </c>
      <c r="O119" s="335">
        <f>('Pivot Table for Data Exchange'!$E$540)*100</f>
        <v>0</v>
      </c>
      <c r="P119" s="327">
        <f>('Pivot Table for Data Exchange'!$E$543)*100</f>
        <v>0</v>
      </c>
      <c r="Q119" s="332">
        <f t="shared" si="14"/>
        <v>99.999999999999986</v>
      </c>
      <c r="R119" s="332">
        <f t="shared" si="15"/>
        <v>100</v>
      </c>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row>
    <row r="120" spans="1:41" ht="15.75" customHeight="1">
      <c r="A120" s="304" t="s">
        <v>840</v>
      </c>
      <c r="B120" s="340">
        <f>('Pivot Table for Data Exchange'!$E$546)*100</f>
        <v>74.461254725500098</v>
      </c>
      <c r="C120" s="340">
        <f>('Pivot Table for Data Exchange'!$E$549)*100</f>
        <v>8.7982307115416987</v>
      </c>
      <c r="D120" s="341">
        <f>SUM(E120:G120)</f>
        <v>16.740514562958204</v>
      </c>
      <c r="E120" s="340">
        <f>('Pivot Table for Data Exchange'!$E$552)*100</f>
        <v>15.267000321410535</v>
      </c>
      <c r="F120" s="361">
        <f>('Pivot Table for Data Exchange'!$E$555)*100</f>
        <v>1.4735142415476683</v>
      </c>
      <c r="G120" s="342">
        <f>('Pivot Table for Data Exchange'!$E$558)*100</f>
        <v>0</v>
      </c>
      <c r="H120" s="340">
        <f>('Pivot Table for Data Exchange'!$E$561)*100</f>
        <v>0</v>
      </c>
      <c r="I120" s="343" t="s">
        <v>840</v>
      </c>
      <c r="J120" s="340">
        <f>('Pivot Table for Data Exchange'!$E$564)*100</f>
        <v>52.908715311384945</v>
      </c>
      <c r="K120" s="340">
        <f>('Pivot Table for Data Exchange'!$E$567)*100</f>
        <v>23.440186065325108</v>
      </c>
      <c r="L120" s="341">
        <f>SUM(M120:O120)</f>
        <v>23.651098623289947</v>
      </c>
      <c r="M120" s="340">
        <f>('Pivot Table for Data Exchange'!$E$570)*100</f>
        <v>22.634095604062235</v>
      </c>
      <c r="N120" s="340">
        <f>('Pivot Table for Data Exchange'!$E$573)*100</f>
        <v>1.0170030192277133</v>
      </c>
      <c r="O120" s="342">
        <f>('Pivot Table for Data Exchange'!$E$576)*100</f>
        <v>0</v>
      </c>
      <c r="P120" s="340">
        <f>('Pivot Table for Data Exchange'!$E$579)*100</f>
        <v>0</v>
      </c>
      <c r="Q120" s="332">
        <f t="shared" si="14"/>
        <v>100</v>
      </c>
      <c r="R120" s="332">
        <f t="shared" si="15"/>
        <v>100</v>
      </c>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row>
    <row r="121" spans="1:41" s="345" customFormat="1" ht="12" customHeight="1">
      <c r="A121" s="346" t="s">
        <v>866</v>
      </c>
      <c r="B121" s="347"/>
      <c r="C121" s="347"/>
      <c r="D121" s="348"/>
      <c r="E121" s="347"/>
      <c r="F121" s="348"/>
      <c r="G121" s="348"/>
      <c r="H121" s="347"/>
      <c r="I121" s="346" t="s">
        <v>866</v>
      </c>
      <c r="J121" s="347"/>
      <c r="K121" s="347"/>
      <c r="L121" s="348"/>
      <c r="M121" s="347"/>
      <c r="N121" s="348"/>
      <c r="O121" s="348"/>
      <c r="P121" s="347"/>
      <c r="Q121" s="332"/>
      <c r="R121" s="332"/>
      <c r="S121" s="349"/>
      <c r="T121" s="349"/>
      <c r="U121" s="349"/>
      <c r="V121" s="349"/>
      <c r="W121" s="349"/>
      <c r="X121" s="349"/>
      <c r="Y121" s="349"/>
      <c r="Z121" s="349"/>
      <c r="AA121" s="349"/>
      <c r="AB121" s="349"/>
      <c r="AC121" s="349"/>
      <c r="AD121" s="349"/>
      <c r="AE121" s="349"/>
      <c r="AF121" s="349"/>
      <c r="AG121" s="349"/>
      <c r="AH121" s="349"/>
      <c r="AI121" s="349"/>
      <c r="AJ121" s="349"/>
      <c r="AK121" s="349"/>
      <c r="AL121" s="349"/>
      <c r="AM121" s="349"/>
      <c r="AN121" s="349"/>
      <c r="AO121" s="349"/>
    </row>
    <row r="122" spans="1:41" s="345" customFormat="1" ht="28.5" customHeight="1">
      <c r="A122" s="455" t="s">
        <v>872</v>
      </c>
      <c r="B122" s="467"/>
      <c r="C122" s="467"/>
      <c r="D122" s="467"/>
      <c r="E122" s="467"/>
      <c r="F122" s="467"/>
      <c r="G122" s="467"/>
      <c r="H122" s="467"/>
      <c r="I122" s="455" t="s">
        <v>872</v>
      </c>
      <c r="J122" s="467"/>
      <c r="K122" s="467"/>
      <c r="L122" s="467"/>
      <c r="M122" s="467"/>
      <c r="N122" s="467"/>
      <c r="O122" s="467"/>
      <c r="P122" s="467"/>
      <c r="Q122" s="332"/>
      <c r="R122" s="332"/>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row>
    <row r="123" spans="1:41" s="345" customFormat="1" ht="13.5" customHeight="1">
      <c r="A123" s="356"/>
      <c r="B123" s="357"/>
      <c r="I123" s="356"/>
      <c r="P123" s="358"/>
      <c r="Q123" s="332"/>
      <c r="R123" s="332"/>
    </row>
    <row r="124" spans="1:41" s="345" customFormat="1" ht="13.5" customHeight="1">
      <c r="H124" s="351" t="s">
        <v>980</v>
      </c>
      <c r="I124" s="356"/>
      <c r="P124" s="351" t="s">
        <v>980</v>
      </c>
      <c r="Q124" s="332"/>
      <c r="R124" s="332"/>
    </row>
    <row r="125" spans="1:41" ht="18">
      <c r="A125" s="293" t="s">
        <v>873</v>
      </c>
      <c r="B125" s="294"/>
      <c r="C125" s="294"/>
      <c r="D125" s="294"/>
      <c r="E125" s="294"/>
      <c r="F125" s="294"/>
      <c r="G125" s="294"/>
      <c r="H125" s="294"/>
      <c r="I125" s="293" t="s">
        <v>874</v>
      </c>
      <c r="J125" s="295"/>
      <c r="K125" s="295"/>
      <c r="L125" s="294"/>
      <c r="M125" s="295"/>
      <c r="N125" s="295"/>
      <c r="O125" s="295"/>
      <c r="P125" s="295"/>
      <c r="Q125" s="332"/>
      <c r="R125" s="332"/>
    </row>
    <row r="126" spans="1:41">
      <c r="A126" s="299"/>
      <c r="B126" s="295"/>
      <c r="C126" s="295"/>
      <c r="D126" s="295"/>
      <c r="E126" s="295"/>
      <c r="F126" s="295"/>
      <c r="G126" s="295"/>
      <c r="H126" s="295"/>
      <c r="I126" s="299"/>
      <c r="J126" s="295"/>
      <c r="K126" s="295"/>
      <c r="L126" s="295"/>
      <c r="M126" s="295"/>
      <c r="N126" s="295"/>
      <c r="O126" s="295"/>
      <c r="P126" s="295"/>
      <c r="Q126" s="332"/>
      <c r="R126" s="332"/>
    </row>
    <row r="127" spans="1:41" ht="15.75">
      <c r="A127" s="301" t="s">
        <v>846</v>
      </c>
      <c r="B127" s="295"/>
      <c r="C127" s="295"/>
      <c r="D127" s="295"/>
      <c r="E127" s="295"/>
      <c r="F127" s="295"/>
      <c r="G127" s="295"/>
      <c r="H127" s="295"/>
      <c r="I127" s="301" t="s">
        <v>847</v>
      </c>
      <c r="J127" s="295"/>
      <c r="K127" s="295"/>
      <c r="L127" s="295"/>
      <c r="M127" s="295"/>
      <c r="N127" s="295"/>
      <c r="O127" s="295"/>
      <c r="P127" s="295"/>
      <c r="Q127" s="332"/>
      <c r="R127" s="332"/>
    </row>
    <row r="128" spans="1:41" ht="15.75">
      <c r="A128" s="301" t="s">
        <v>895</v>
      </c>
      <c r="B128" s="295"/>
      <c r="C128" s="295"/>
      <c r="D128" s="295"/>
      <c r="E128" s="295"/>
      <c r="F128" s="295"/>
      <c r="G128" s="295"/>
      <c r="H128" s="295"/>
      <c r="I128" s="301" t="s">
        <v>895</v>
      </c>
      <c r="J128" s="295"/>
      <c r="K128" s="295"/>
      <c r="L128" s="295"/>
      <c r="M128" s="295"/>
      <c r="N128" s="295"/>
      <c r="O128" s="295"/>
      <c r="P128" s="295"/>
      <c r="Q128" s="332"/>
      <c r="R128" s="332"/>
    </row>
    <row r="129" spans="1:41">
      <c r="A129" s="304"/>
      <c r="B129" s="305"/>
      <c r="C129" s="305"/>
      <c r="D129" s="305"/>
      <c r="E129" s="305"/>
      <c r="F129" s="305"/>
      <c r="G129" s="305"/>
      <c r="H129" s="305"/>
      <c r="I129" s="306"/>
      <c r="L129" s="307"/>
      <c r="P129" s="304"/>
      <c r="Q129" s="332"/>
      <c r="R129" s="332"/>
    </row>
    <row r="130" spans="1:41" s="314" customFormat="1">
      <c r="A130" s="309"/>
      <c r="B130" s="310" t="s">
        <v>848</v>
      </c>
      <c r="C130" s="310"/>
      <c r="D130" s="310"/>
      <c r="E130" s="310"/>
      <c r="F130" s="310"/>
      <c r="G130" s="310"/>
      <c r="H130" s="311"/>
      <c r="I130" s="309"/>
      <c r="J130" s="310" t="s">
        <v>848</v>
      </c>
      <c r="K130" s="310"/>
      <c r="L130" s="310"/>
      <c r="M130" s="310"/>
      <c r="N130" s="310"/>
      <c r="O130" s="310"/>
      <c r="P130" s="311"/>
      <c r="Q130" s="332"/>
      <c r="R130" s="332"/>
    </row>
    <row r="131" spans="1:41" s="314" customFormat="1">
      <c r="A131" s="309"/>
      <c r="B131" s="310" t="s">
        <v>849</v>
      </c>
      <c r="C131" s="310"/>
      <c r="D131" s="450" t="s">
        <v>850</v>
      </c>
      <c r="E131" s="448"/>
      <c r="F131" s="448"/>
      <c r="G131" s="448"/>
      <c r="H131" s="317" t="s">
        <v>740</v>
      </c>
      <c r="I131" s="309"/>
      <c r="J131" s="310" t="s">
        <v>849</v>
      </c>
      <c r="K131" s="310"/>
      <c r="L131" s="450" t="s">
        <v>850</v>
      </c>
      <c r="M131" s="448"/>
      <c r="N131" s="448"/>
      <c r="O131" s="448"/>
      <c r="P131" s="317" t="s">
        <v>740</v>
      </c>
      <c r="Q131" s="332"/>
      <c r="R131" s="332"/>
    </row>
    <row r="132" spans="1:41" s="314" customFormat="1" ht="40.5" customHeight="1">
      <c r="A132" s="309"/>
      <c r="B132" s="318" t="s">
        <v>851</v>
      </c>
      <c r="C132" s="319" t="s">
        <v>852</v>
      </c>
      <c r="D132" s="320" t="s">
        <v>853</v>
      </c>
      <c r="E132" s="321" t="s">
        <v>8</v>
      </c>
      <c r="F132" s="318" t="s">
        <v>854</v>
      </c>
      <c r="G132" s="322" t="s">
        <v>864</v>
      </c>
      <c r="H132" s="323" t="s">
        <v>856</v>
      </c>
      <c r="I132" s="309"/>
      <c r="J132" s="318" t="s">
        <v>851</v>
      </c>
      <c r="K132" s="319" t="s">
        <v>852</v>
      </c>
      <c r="L132" s="320" t="s">
        <v>853</v>
      </c>
      <c r="M132" s="321" t="s">
        <v>8</v>
      </c>
      <c r="N132" s="318" t="s">
        <v>854</v>
      </c>
      <c r="O132" s="322" t="s">
        <v>864</v>
      </c>
      <c r="P132" s="323" t="s">
        <v>856</v>
      </c>
      <c r="Q132" s="332"/>
      <c r="R132" s="332"/>
      <c r="T132" s="352"/>
    </row>
    <row r="133" spans="1:41" ht="15.75" customHeight="1">
      <c r="A133" s="353" t="s">
        <v>825</v>
      </c>
      <c r="B133" s="327">
        <f>('Pivot Table for Data Exchange'!$F$6)*100</f>
        <v>82.761023150449404</v>
      </c>
      <c r="C133" s="327">
        <f>('Pivot Table for Data Exchange'!$F$9)*100</f>
        <v>0.11082228505773352</v>
      </c>
      <c r="D133" s="328">
        <f>SUM(E133:G133)</f>
        <v>17.128154564492863</v>
      </c>
      <c r="E133" s="327">
        <f>('Pivot Table for Data Exchange'!$F$12)*100</f>
        <v>17.128154564492863</v>
      </c>
      <c r="F133" s="327">
        <f>('Pivot Table for Data Exchange'!$F$15)*100</f>
        <v>0</v>
      </c>
      <c r="G133" s="331">
        <f>('Pivot Table for Data Exchange'!$F$18)*100</f>
        <v>0</v>
      </c>
      <c r="H133" s="327">
        <f>('Pivot Table for Data Exchange'!$F$21)*100</f>
        <v>0</v>
      </c>
      <c r="I133" s="330" t="s">
        <v>825</v>
      </c>
      <c r="J133" s="327">
        <f>('Pivot Table for Data Exchange'!$F$24)*100</f>
        <v>64.682755447739353</v>
      </c>
      <c r="K133" s="327">
        <f>('Pivot Table for Data Exchange'!$F$27)*100</f>
        <v>0</v>
      </c>
      <c r="L133" s="328">
        <f>SUM(M133:O133)</f>
        <v>35.317244552260654</v>
      </c>
      <c r="M133" s="327">
        <f>('Pivot Table for Data Exchange'!$F$30)*100</f>
        <v>35.317244552260654</v>
      </c>
      <c r="N133" s="327">
        <f>('Pivot Table for Data Exchange'!$F$33)*100</f>
        <v>0</v>
      </c>
      <c r="O133" s="331">
        <f>('Pivot Table for Data Exchange'!$F$36)*100</f>
        <v>0</v>
      </c>
      <c r="P133" s="327">
        <f>('Pivot Table for Data Exchange'!$F$39)*100</f>
        <v>0</v>
      </c>
      <c r="Q133" s="332">
        <f t="shared" si="14"/>
        <v>100</v>
      </c>
      <c r="R133" s="332">
        <f t="shared" si="15"/>
        <v>100</v>
      </c>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row>
    <row r="134" spans="1:41" ht="15.75" customHeight="1">
      <c r="A134" s="298" t="s">
        <v>826</v>
      </c>
      <c r="B134" s="327">
        <f>('Pivot Table for Data Exchange'!$F$42)*100</f>
        <v>79.209699900918608</v>
      </c>
      <c r="C134" s="327">
        <f>('Pivot Table for Data Exchange'!$F$45)*100</f>
        <v>2.3997850437469563</v>
      </c>
      <c r="D134" s="328">
        <f t="shared" ref="D134:D136" si="30">SUM(E134:G134)</f>
        <v>18.39051505533444</v>
      </c>
      <c r="E134" s="327">
        <f>('Pivot Table for Data Exchange'!$F$48)*100</f>
        <v>18.39051505533444</v>
      </c>
      <c r="F134" s="327">
        <f>('Pivot Table for Data Exchange'!$F$51)*100</f>
        <v>0</v>
      </c>
      <c r="G134" s="335">
        <f>('Pivot Table for Data Exchange'!$F$54)*100</f>
        <v>0</v>
      </c>
      <c r="H134" s="327">
        <f>('Pivot Table for Data Exchange'!$F$57)*100</f>
        <v>0</v>
      </c>
      <c r="I134" s="333" t="s">
        <v>826</v>
      </c>
      <c r="J134" s="327">
        <f>('Pivot Table for Data Exchange'!$F$60)*100</f>
        <v>13.367309549981679</v>
      </c>
      <c r="K134" s="327">
        <f>('Pivot Table for Data Exchange'!$F$63)*100</f>
        <v>14.123446920488991</v>
      </c>
      <c r="L134" s="328">
        <f t="shared" ref="L134:L136" si="31">SUM(M134:O134)</f>
        <v>72.509243529529328</v>
      </c>
      <c r="M134" s="327">
        <f>('Pivot Table for Data Exchange'!$F$66)*100</f>
        <v>72.509243529529328</v>
      </c>
      <c r="N134" s="327">
        <f>('Pivot Table for Data Exchange'!$F$69)*100</f>
        <v>0</v>
      </c>
      <c r="O134" s="335">
        <f>('Pivot Table for Data Exchange'!$F$72)*100</f>
        <v>0</v>
      </c>
      <c r="P134" s="327">
        <f>('Pivot Table for Data Exchange'!$F$75)*100</f>
        <v>0</v>
      </c>
      <c r="Q134" s="332">
        <f t="shared" si="14"/>
        <v>100</v>
      </c>
      <c r="R134" s="332">
        <f t="shared" si="15"/>
        <v>100</v>
      </c>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row>
    <row r="135" spans="1:41" ht="15.75" customHeight="1">
      <c r="A135" s="298" t="s">
        <v>827</v>
      </c>
      <c r="B135" s="327">
        <f>('Pivot Table for Data Exchange'!$F$78)*100</f>
        <v>0</v>
      </c>
      <c r="C135" s="327">
        <f>('Pivot Table for Data Exchange'!$F$81)*100</f>
        <v>0</v>
      </c>
      <c r="D135" s="328">
        <f t="shared" si="30"/>
        <v>0</v>
      </c>
      <c r="E135" s="327">
        <f>('Pivot Table for Data Exchange'!$F$84)*100</f>
        <v>0</v>
      </c>
      <c r="F135" s="327">
        <f>('Pivot Table for Data Exchange'!$F$87)*100</f>
        <v>0</v>
      </c>
      <c r="G135" s="335">
        <f>('Pivot Table for Data Exchange'!$F$90)*100</f>
        <v>0</v>
      </c>
      <c r="H135" s="327">
        <f>('Pivot Table for Data Exchange'!$F$93)*100</f>
        <v>0</v>
      </c>
      <c r="I135" s="333" t="s">
        <v>827</v>
      </c>
      <c r="J135" s="327">
        <f>('Pivot Table for Data Exchange'!$F$96)*100</f>
        <v>0</v>
      </c>
      <c r="K135" s="327">
        <f>('Pivot Table for Data Exchange'!$F$99)*100</f>
        <v>0</v>
      </c>
      <c r="L135" s="328">
        <f t="shared" si="31"/>
        <v>0</v>
      </c>
      <c r="M135" s="327">
        <f>('Pivot Table for Data Exchange'!$F$102)*100</f>
        <v>0</v>
      </c>
      <c r="N135" s="327">
        <f>('Pivot Table for Data Exchange'!$F$105)*100</f>
        <v>0</v>
      </c>
      <c r="O135" s="335">
        <f>('Pivot Table for Data Exchange'!$F$108)*100</f>
        <v>0</v>
      </c>
      <c r="P135" s="327">
        <f>('Pivot Table for Data Exchange'!$F$111)*100</f>
        <v>0</v>
      </c>
      <c r="Q135" s="332">
        <f t="shared" si="14"/>
        <v>0</v>
      </c>
      <c r="R135" s="332">
        <f t="shared" si="15"/>
        <v>0</v>
      </c>
      <c r="S135" s="333"/>
      <c r="T135" s="307"/>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row>
    <row r="136" spans="1:41" ht="15.75" customHeight="1">
      <c r="A136" s="298" t="s">
        <v>865</v>
      </c>
      <c r="B136" s="327">
        <f>('Pivot Table for Data Exchange'!$F$114)*100</f>
        <v>0</v>
      </c>
      <c r="C136" s="327">
        <f>('Pivot Table for Data Exchange'!$F$117)*100</f>
        <v>0</v>
      </c>
      <c r="D136" s="328">
        <f t="shared" si="30"/>
        <v>0</v>
      </c>
      <c r="E136" s="327">
        <f>('Pivot Table for Data Exchange'!$F$120)*100</f>
        <v>0</v>
      </c>
      <c r="F136" s="336">
        <f>('Pivot Table for Data Exchange'!$F$123)*100</f>
        <v>0</v>
      </c>
      <c r="G136" s="338">
        <f>('Pivot Table for Data Exchange'!$F$126)*100</f>
        <v>0</v>
      </c>
      <c r="H136" s="327">
        <f>('Pivot Table for Data Exchange'!$F$129)*100</f>
        <v>0</v>
      </c>
      <c r="I136" s="333" t="s">
        <v>865</v>
      </c>
      <c r="J136" s="327">
        <f>('Pivot Table for Data Exchange'!$F$132)*100</f>
        <v>0</v>
      </c>
      <c r="K136" s="327">
        <f>('Pivot Table for Data Exchange'!$F$135)*100</f>
        <v>0</v>
      </c>
      <c r="L136" s="328">
        <f t="shared" si="31"/>
        <v>0</v>
      </c>
      <c r="M136" s="327">
        <f>('Pivot Table for Data Exchange'!$F$138)*100</f>
        <v>0</v>
      </c>
      <c r="N136" s="327">
        <f>('Pivot Table for Data Exchange'!$F$141)*100</f>
        <v>0</v>
      </c>
      <c r="O136" s="335">
        <f>('Pivot Table for Data Exchange'!$F$144)*100</f>
        <v>0</v>
      </c>
      <c r="P136" s="327">
        <f>('Pivot Table for Data Exchange'!$F$147)*100</f>
        <v>0</v>
      </c>
      <c r="Q136" s="332">
        <f t="shared" si="14"/>
        <v>0</v>
      </c>
      <c r="R136" s="332">
        <f t="shared" si="15"/>
        <v>0</v>
      </c>
      <c r="S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row>
    <row r="137" spans="1:41" ht="15.75" customHeight="1">
      <c r="B137" s="327"/>
      <c r="C137" s="327"/>
      <c r="D137" s="328"/>
      <c r="E137" s="327"/>
      <c r="F137" s="327"/>
      <c r="G137" s="335"/>
      <c r="H137" s="327"/>
      <c r="I137" s="333"/>
      <c r="J137" s="327"/>
      <c r="K137" s="327"/>
      <c r="L137" s="328"/>
      <c r="M137" s="327"/>
      <c r="N137" s="327"/>
      <c r="O137" s="335"/>
      <c r="P137" s="327"/>
      <c r="Q137" s="332">
        <f t="shared" si="14"/>
        <v>0</v>
      </c>
      <c r="R137" s="332">
        <f t="shared" si="15"/>
        <v>0</v>
      </c>
      <c r="S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row>
    <row r="138" spans="1:41" ht="15.75" customHeight="1">
      <c r="A138" s="298" t="s">
        <v>829</v>
      </c>
      <c r="B138" s="327">
        <f>('Pivot Table for Data Exchange'!$F$150)*100</f>
        <v>80.403629593830544</v>
      </c>
      <c r="C138" s="327">
        <f>('Pivot Table for Data Exchange'!$F$153)*100</f>
        <v>1.9968417414982957</v>
      </c>
      <c r="D138" s="328">
        <f t="shared" ref="D138:D141" si="32">SUM(E138:G138)</f>
        <v>17.599528664671155</v>
      </c>
      <c r="E138" s="327">
        <f>('Pivot Table for Data Exchange'!$F$156)*100</f>
        <v>17.515278124220504</v>
      </c>
      <c r="F138" s="327">
        <f>('Pivot Table for Data Exchange'!$F$159)*100</f>
        <v>1.6109586763116322E-2</v>
      </c>
      <c r="G138" s="335">
        <f>('Pivot Table for Data Exchange'!$F$162)*100</f>
        <v>6.8140953687536379E-2</v>
      </c>
      <c r="H138" s="327">
        <f>('Pivot Table for Data Exchange'!$F$165)*100</f>
        <v>0</v>
      </c>
      <c r="I138" s="333" t="s">
        <v>829</v>
      </c>
      <c r="J138" s="327">
        <f>('Pivot Table for Data Exchange'!$F$168)*100</f>
        <v>72.596603445808555</v>
      </c>
      <c r="K138" s="327">
        <f>('Pivot Table for Data Exchange'!$F$171)*100</f>
        <v>6.6453452963748116</v>
      </c>
      <c r="L138" s="328">
        <f t="shared" ref="L138:L141" si="33">SUM(M138:O138)</f>
        <v>20.758051257816632</v>
      </c>
      <c r="M138" s="327">
        <f>('Pivot Table for Data Exchange'!$F$174)*100</f>
        <v>20.745072067784651</v>
      </c>
      <c r="N138" s="327">
        <f>('Pivot Table for Data Exchange'!$F$177)*100</f>
        <v>0</v>
      </c>
      <c r="O138" s="335">
        <f>('Pivot Table for Data Exchange'!$F$180)*100</f>
        <v>1.2979190031982054E-2</v>
      </c>
      <c r="P138" s="327">
        <f>('Pivot Table for Data Exchange'!$F$183)*100</f>
        <v>0</v>
      </c>
      <c r="Q138" s="332">
        <f t="shared" si="14"/>
        <v>100</v>
      </c>
      <c r="R138" s="332">
        <f t="shared" si="15"/>
        <v>100</v>
      </c>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row>
    <row r="139" spans="1:41" ht="15.75" customHeight="1">
      <c r="A139" s="298" t="s">
        <v>830</v>
      </c>
      <c r="B139" s="327">
        <f>('Pivot Table for Data Exchange'!$F$186)*100</f>
        <v>68.889543046057696</v>
      </c>
      <c r="C139" s="327">
        <f>('Pivot Table for Data Exchange'!$F$189)*100</f>
        <v>0.48231511254019299</v>
      </c>
      <c r="D139" s="328">
        <f t="shared" si="32"/>
        <v>30.628141841402112</v>
      </c>
      <c r="E139" s="327">
        <f>('Pivot Table for Data Exchange'!$F$192)*100</f>
        <v>30.625877451202392</v>
      </c>
      <c r="F139" s="327">
        <f>('Pivot Table for Data Exchange'!$F$195)*100</f>
        <v>2.2643901997192158E-3</v>
      </c>
      <c r="G139" s="338">
        <f>('Pivot Table for Data Exchange'!$F$198)*100</f>
        <v>0</v>
      </c>
      <c r="H139" s="327">
        <f>('Pivot Table for Data Exchange'!$F$201)*100</f>
        <v>0</v>
      </c>
      <c r="I139" s="333" t="s">
        <v>830</v>
      </c>
      <c r="J139" s="327">
        <f>('Pivot Table for Data Exchange'!$F$204)*100</f>
        <v>80.883567299752272</v>
      </c>
      <c r="K139" s="327">
        <f>('Pivot Table for Data Exchange'!$F$207)*100</f>
        <v>0</v>
      </c>
      <c r="L139" s="328">
        <f t="shared" si="33"/>
        <v>19.116432700247728</v>
      </c>
      <c r="M139" s="327">
        <f>('Pivot Table for Data Exchange'!$F$210)*100</f>
        <v>19.116432700247728</v>
      </c>
      <c r="N139" s="327">
        <f>('Pivot Table for Data Exchange'!$F$213)*100</f>
        <v>0</v>
      </c>
      <c r="O139" s="335">
        <f>('Pivot Table for Data Exchange'!$F$216)*100</f>
        <v>0</v>
      </c>
      <c r="P139" s="327">
        <f>('Pivot Table for Data Exchange'!$F$219)*100</f>
        <v>0</v>
      </c>
      <c r="Q139" s="332">
        <f t="shared" ref="Q139:Q202" si="34">SUM(B139,C139,D139,H139)</f>
        <v>100</v>
      </c>
      <c r="R139" s="332">
        <f t="shared" ref="R139:R202" si="35">SUM(J139,K139,L139,P139)</f>
        <v>100</v>
      </c>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row>
    <row r="140" spans="1:41" ht="15.75" customHeight="1">
      <c r="A140" s="298" t="s">
        <v>831</v>
      </c>
      <c r="B140" s="327">
        <f>('Pivot Table for Data Exchange'!$F$222)*100</f>
        <v>71.31514311546475</v>
      </c>
      <c r="C140" s="327">
        <f>('Pivot Table for Data Exchange'!$F$225)*100</f>
        <v>0</v>
      </c>
      <c r="D140" s="328">
        <f t="shared" si="32"/>
        <v>28.684856884535247</v>
      </c>
      <c r="E140" s="327">
        <f>('Pivot Table for Data Exchange'!$F$228)*100</f>
        <v>28.684856884535247</v>
      </c>
      <c r="F140" s="327">
        <f>('Pivot Table for Data Exchange'!$F$231)*100</f>
        <v>0</v>
      </c>
      <c r="G140" s="335">
        <f>('Pivot Table for Data Exchange'!$F$234)*100</f>
        <v>0</v>
      </c>
      <c r="H140" s="327">
        <f>('Pivot Table for Data Exchange'!$F$237)*100</f>
        <v>0</v>
      </c>
      <c r="I140" s="333" t="s">
        <v>831</v>
      </c>
      <c r="J140" s="327">
        <f>('Pivot Table for Data Exchange'!$F$240)*100</f>
        <v>44.19509581043404</v>
      </c>
      <c r="K140" s="327">
        <f>('Pivot Table for Data Exchange'!$F$243)*100</f>
        <v>0</v>
      </c>
      <c r="L140" s="328">
        <f t="shared" si="33"/>
        <v>55.804904189565953</v>
      </c>
      <c r="M140" s="327">
        <f>('Pivot Table for Data Exchange'!$F$246)*100</f>
        <v>55.804904189565953</v>
      </c>
      <c r="N140" s="327">
        <f>('Pivot Table for Data Exchange'!$F$249)*100</f>
        <v>0</v>
      </c>
      <c r="O140" s="335">
        <f>('Pivot Table for Data Exchange'!$F$252)*100</f>
        <v>0</v>
      </c>
      <c r="P140" s="327">
        <f>('Pivot Table for Data Exchange'!$F$255)*100</f>
        <v>0</v>
      </c>
      <c r="Q140" s="332">
        <f t="shared" si="34"/>
        <v>100</v>
      </c>
      <c r="R140" s="332">
        <f t="shared" si="35"/>
        <v>100</v>
      </c>
      <c r="S140" s="333"/>
      <c r="T140" s="307"/>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row>
    <row r="141" spans="1:41" ht="15.75" customHeight="1">
      <c r="A141" s="298" t="s">
        <v>832</v>
      </c>
      <c r="B141" s="327">
        <f>('Pivot Table for Data Exchange'!$F$258)*100</f>
        <v>83.726168573294473</v>
      </c>
      <c r="C141" s="327">
        <f>('Pivot Table for Data Exchange'!$F$261)*100</f>
        <v>1.2941992930500306</v>
      </c>
      <c r="D141" s="328">
        <f t="shared" si="32"/>
        <v>14.979632133655493</v>
      </c>
      <c r="E141" s="327">
        <f>('Pivot Table for Data Exchange'!$F$264)*100</f>
        <v>14.005316618439698</v>
      </c>
      <c r="F141" s="327">
        <f>('Pivot Table for Data Exchange'!$F$267)*100</f>
        <v>0.97431551521579374</v>
      </c>
      <c r="G141" s="335">
        <f>('Pivot Table for Data Exchange'!$F$270)*100</f>
        <v>0</v>
      </c>
      <c r="H141" s="327">
        <f>('Pivot Table for Data Exchange'!$F$273)*100</f>
        <v>0</v>
      </c>
      <c r="I141" s="333" t="s">
        <v>832</v>
      </c>
      <c r="J141" s="327">
        <f>('Pivot Table for Data Exchange'!$F$276)*100</f>
        <v>60.197248466766119</v>
      </c>
      <c r="K141" s="327">
        <f>('Pivot Table for Data Exchange'!$F$279)*100</f>
        <v>5.4351069119840876</v>
      </c>
      <c r="L141" s="328">
        <f t="shared" si="33"/>
        <v>34.367644621249795</v>
      </c>
      <c r="M141" s="327">
        <f>('Pivot Table for Data Exchange'!$F$282)*100</f>
        <v>28.899386706447871</v>
      </c>
      <c r="N141" s="327">
        <f>('Pivot Table for Data Exchange'!$F$285)*100</f>
        <v>5.4682579148019235</v>
      </c>
      <c r="O141" s="335">
        <f>('Pivot Table for Data Exchange'!$F$288)*100</f>
        <v>0</v>
      </c>
      <c r="P141" s="327">
        <f>('Pivot Table for Data Exchange'!$F$291)*100</f>
        <v>0</v>
      </c>
      <c r="Q141" s="332">
        <f t="shared" si="34"/>
        <v>100</v>
      </c>
      <c r="R141" s="332">
        <f t="shared" si="35"/>
        <v>100</v>
      </c>
      <c r="S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row>
    <row r="142" spans="1:41" ht="15.75" customHeight="1">
      <c r="B142" s="327"/>
      <c r="C142" s="327"/>
      <c r="D142" s="328"/>
      <c r="E142" s="327"/>
      <c r="F142" s="327"/>
      <c r="G142" s="335"/>
      <c r="H142" s="327"/>
      <c r="I142" s="333"/>
      <c r="J142" s="327"/>
      <c r="K142" s="327"/>
      <c r="L142" s="328"/>
      <c r="M142" s="327"/>
      <c r="N142" s="327"/>
      <c r="O142" s="335"/>
      <c r="P142" s="327"/>
      <c r="Q142" s="332">
        <f t="shared" si="34"/>
        <v>0</v>
      </c>
      <c r="R142" s="332">
        <f t="shared" si="35"/>
        <v>0</v>
      </c>
      <c r="S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row>
    <row r="143" spans="1:41" ht="15.75" customHeight="1">
      <c r="A143" s="298" t="s">
        <v>833</v>
      </c>
      <c r="B143" s="327">
        <f>('Pivot Table for Data Exchange'!$F$294)*100</f>
        <v>73.202194641835007</v>
      </c>
      <c r="C143" s="327">
        <f>('Pivot Table for Data Exchange'!$F$297)*100</f>
        <v>3.2538031616617107</v>
      </c>
      <c r="D143" s="328">
        <f t="shared" ref="D143:D145" si="36">SUM(E143:G143)</f>
        <v>23.179624639927031</v>
      </c>
      <c r="E143" s="327">
        <f>('Pivot Table for Data Exchange'!$F$300)*100</f>
        <v>23.179624639927031</v>
      </c>
      <c r="F143" s="327">
        <f>('Pivot Table for Data Exchange'!$F$303)*100</f>
        <v>0</v>
      </c>
      <c r="G143" s="334">
        <f>('Pivot Table for Data Exchange'!$F$306)*100</f>
        <v>0</v>
      </c>
      <c r="H143" s="327">
        <f>('Pivot Table for Data Exchange'!$F$309)*100</f>
        <v>0.36437755657624704</v>
      </c>
      <c r="I143" s="333" t="s">
        <v>833</v>
      </c>
      <c r="J143" s="327">
        <f>('Pivot Table for Data Exchange'!$F$312)*100</f>
        <v>20.480284155255841</v>
      </c>
      <c r="K143" s="327">
        <f>('Pivot Table for Data Exchange'!$F$315)*100</f>
        <v>0.47101822300010299</v>
      </c>
      <c r="L143" s="328">
        <f t="shared" ref="L143:L145" si="37">SUM(M143:O143)</f>
        <v>78.909708637907954</v>
      </c>
      <c r="M143" s="327">
        <f>('Pivot Table for Data Exchange'!$F$318)*100</f>
        <v>78.832492535776794</v>
      </c>
      <c r="N143" s="327">
        <f>('Pivot Table for Data Exchange'!$F$321)*100</f>
        <v>0</v>
      </c>
      <c r="O143" s="335">
        <f>('Pivot Table for Data Exchange'!$F$324)*100</f>
        <v>7.7216102131164421E-2</v>
      </c>
      <c r="P143" s="327">
        <f>('Pivot Table for Data Exchange'!$F$327)*100</f>
        <v>0.13898898383609595</v>
      </c>
      <c r="Q143" s="332">
        <f t="shared" si="34"/>
        <v>99.999999999999986</v>
      </c>
      <c r="R143" s="332">
        <f t="shared" si="35"/>
        <v>100</v>
      </c>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row>
    <row r="144" spans="1:41" ht="15.75" customHeight="1">
      <c r="A144" s="298" t="s">
        <v>834</v>
      </c>
      <c r="B144" s="327">
        <f>('Pivot Table for Data Exchange'!$F$330)*100</f>
        <v>66.043315402596676</v>
      </c>
      <c r="C144" s="327">
        <f>('Pivot Table for Data Exchange'!$F$333)*100</f>
        <v>0.66465767313487489</v>
      </c>
      <c r="D144" s="328">
        <f t="shared" si="36"/>
        <v>33.292026924268455</v>
      </c>
      <c r="E144" s="327">
        <f>('Pivot Table for Data Exchange'!$F$336)*100</f>
        <v>33.292026924268455</v>
      </c>
      <c r="F144" s="327">
        <f>('Pivot Table for Data Exchange'!$F$339)*100</f>
        <v>0</v>
      </c>
      <c r="G144" s="338">
        <f>('Pivot Table for Data Exchange'!$F$342)*100</f>
        <v>0</v>
      </c>
      <c r="H144" s="327">
        <f>('Pivot Table for Data Exchange'!$F$345)*100</f>
        <v>0</v>
      </c>
      <c r="I144" s="333" t="s">
        <v>834</v>
      </c>
      <c r="J144" s="327">
        <f>('Pivot Table for Data Exchange'!$F$348)*100</f>
        <v>39.608801955990216</v>
      </c>
      <c r="K144" s="327">
        <f>('Pivot Table for Data Exchange'!$F$351)*100</f>
        <v>8.5045926121720736</v>
      </c>
      <c r="L144" s="328">
        <f t="shared" si="37"/>
        <v>51.886605431837708</v>
      </c>
      <c r="M144" s="327">
        <f>('Pivot Table for Data Exchange'!$F$354)*100</f>
        <v>51.886605431837708</v>
      </c>
      <c r="N144" s="327">
        <f>('Pivot Table for Data Exchange'!$F$357)*100</f>
        <v>0</v>
      </c>
      <c r="O144" s="335">
        <f>('Pivot Table for Data Exchange'!$F$360)*100</f>
        <v>0</v>
      </c>
      <c r="P144" s="327">
        <f>('Pivot Table for Data Exchange'!$F$363)*100</f>
        <v>0</v>
      </c>
      <c r="Q144" s="332">
        <f t="shared" si="34"/>
        <v>100</v>
      </c>
      <c r="R144" s="332">
        <f t="shared" si="35"/>
        <v>100</v>
      </c>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row>
    <row r="145" spans="1:41" ht="15.75" customHeight="1">
      <c r="A145" s="298" t="s">
        <v>835</v>
      </c>
      <c r="B145" s="327">
        <f>('Pivot Table for Data Exchange'!$F$366)*100</f>
        <v>69.749228507734401</v>
      </c>
      <c r="C145" s="327">
        <f>('Pivot Table for Data Exchange'!$F$369)*100</f>
        <v>1.5979868189207869</v>
      </c>
      <c r="D145" s="328">
        <f t="shared" si="36"/>
        <v>28.652784673344819</v>
      </c>
      <c r="E145" s="327">
        <f>('Pivot Table for Data Exchange'!$F$372)*100</f>
        <v>27.047983411699423</v>
      </c>
      <c r="F145" s="327">
        <f>('Pivot Table for Data Exchange'!$F$375)*100</f>
        <v>1.6048012616453957</v>
      </c>
      <c r="G145" s="335">
        <f>('Pivot Table for Data Exchange'!$F$378)*100</f>
        <v>0</v>
      </c>
      <c r="H145" s="327">
        <f>('Pivot Table for Data Exchange'!$F$381)*100</f>
        <v>0</v>
      </c>
      <c r="I145" s="333" t="s">
        <v>835</v>
      </c>
      <c r="J145" s="327">
        <f>('Pivot Table for Data Exchange'!$F$384)*100</f>
        <v>31.020377528427218</v>
      </c>
      <c r="K145" s="327">
        <f>('Pivot Table for Data Exchange'!$F$387)*100</f>
        <v>5.8880924681952944</v>
      </c>
      <c r="L145" s="328">
        <f t="shared" si="37"/>
        <v>63.091530003377486</v>
      </c>
      <c r="M145" s="327">
        <f>('Pivot Table for Data Exchange'!$F$390)*100</f>
        <v>62.7087477014298</v>
      </c>
      <c r="N145" s="327">
        <f>('Pivot Table for Data Exchange'!$F$393)*100</f>
        <v>0.38278230194768642</v>
      </c>
      <c r="O145" s="335">
        <f>('Pivot Table for Data Exchange'!$F$396)*100</f>
        <v>0</v>
      </c>
      <c r="P145" s="327">
        <f>('Pivot Table for Data Exchange'!$F$399)*100</f>
        <v>0</v>
      </c>
      <c r="Q145" s="332">
        <f t="shared" si="34"/>
        <v>100</v>
      </c>
      <c r="R145" s="332">
        <f t="shared" si="35"/>
        <v>100</v>
      </c>
      <c r="S145" s="333"/>
      <c r="T145" s="307"/>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row>
    <row r="146" spans="1:41" ht="15.75" customHeight="1">
      <c r="A146" s="298" t="s">
        <v>836</v>
      </c>
      <c r="B146" s="327">
        <f>('Pivot Table for Data Exchange'!$F$402)*100</f>
        <v>84.18319412754623</v>
      </c>
      <c r="C146" s="327">
        <f>('Pivot Table for Data Exchange'!$F$405)*100</f>
        <v>0.8579481514366244</v>
      </c>
      <c r="D146" s="328">
        <f>SUM(E146:G146)</f>
        <v>14.95885772101715</v>
      </c>
      <c r="E146" s="327">
        <f>('Pivot Table for Data Exchange'!$F$408)*100</f>
        <v>14.95885772101715</v>
      </c>
      <c r="F146" s="327">
        <f>('Pivot Table for Data Exchange'!$F$411)*100</f>
        <v>0</v>
      </c>
      <c r="G146" s="335">
        <f>('Pivot Table for Data Exchange'!$F$414)*100</f>
        <v>0</v>
      </c>
      <c r="H146" s="327">
        <f>('Pivot Table for Data Exchange'!$F$417)*100</f>
        <v>0</v>
      </c>
      <c r="I146" s="333" t="s">
        <v>836</v>
      </c>
      <c r="J146" s="327">
        <f>('Pivot Table for Data Exchange'!$F$420)*100</f>
        <v>36.572362809212393</v>
      </c>
      <c r="K146" s="327">
        <f>('Pivot Table for Data Exchange'!$F$423)*100</f>
        <v>9.7028717657094123</v>
      </c>
      <c r="L146" s="328">
        <f>SUM(M146:O146)</f>
        <v>53.724765425078189</v>
      </c>
      <c r="M146" s="327">
        <f>('Pivot Table for Data Exchange'!$F$426)*100</f>
        <v>53.724765425078189</v>
      </c>
      <c r="N146" s="327">
        <f>('Pivot Table for Data Exchange'!$F$429)*100</f>
        <v>0</v>
      </c>
      <c r="O146" s="335">
        <f>('Pivot Table for Data Exchange'!$F$432)*100</f>
        <v>0</v>
      </c>
      <c r="P146" s="327">
        <f>('Pivot Table for Data Exchange'!$F$435)*100</f>
        <v>0</v>
      </c>
      <c r="Q146" s="332">
        <f t="shared" si="34"/>
        <v>100.00000000000001</v>
      </c>
      <c r="R146" s="332">
        <f t="shared" si="35"/>
        <v>100</v>
      </c>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row>
    <row r="147" spans="1:41" ht="15.75" customHeight="1">
      <c r="B147" s="327"/>
      <c r="C147" s="327"/>
      <c r="D147" s="328"/>
      <c r="E147" s="327"/>
      <c r="F147" s="327"/>
      <c r="G147" s="335"/>
      <c r="H147" s="327"/>
      <c r="I147" s="333"/>
      <c r="J147" s="327"/>
      <c r="K147" s="327"/>
      <c r="L147" s="328"/>
      <c r="M147" s="327"/>
      <c r="N147" s="327"/>
      <c r="O147" s="335"/>
      <c r="P147" s="327"/>
      <c r="Q147" s="332">
        <f t="shared" si="34"/>
        <v>0</v>
      </c>
      <c r="R147" s="332">
        <f t="shared" si="35"/>
        <v>0</v>
      </c>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row>
    <row r="148" spans="1:41" ht="15.75" customHeight="1">
      <c r="A148" s="298" t="s">
        <v>837</v>
      </c>
      <c r="B148" s="327">
        <f>('Pivot Table for Data Exchange'!$F$438)*100</f>
        <v>0</v>
      </c>
      <c r="C148" s="327">
        <f>('Pivot Table for Data Exchange'!$F$441)*100</f>
        <v>0</v>
      </c>
      <c r="D148" s="328">
        <f>SUM(E148:G148)</f>
        <v>0</v>
      </c>
      <c r="E148" s="327">
        <f>('Pivot Table for Data Exchange'!$F$444)*100</f>
        <v>0</v>
      </c>
      <c r="F148" s="327">
        <f>('Pivot Table for Data Exchange'!$F$447)*100</f>
        <v>0</v>
      </c>
      <c r="G148" s="335">
        <f>('Pivot Table for Data Exchange'!$F$450)*100</f>
        <v>0</v>
      </c>
      <c r="H148" s="327">
        <f>('Pivot Table for Data Exchange'!$F$453)*100</f>
        <v>0</v>
      </c>
      <c r="I148" s="333" t="s">
        <v>837</v>
      </c>
      <c r="J148" s="327">
        <f>('Pivot Table for Data Exchange'!$F$456)*100</f>
        <v>0</v>
      </c>
      <c r="K148" s="327">
        <f>('Pivot Table for Data Exchange'!$F$459)*100</f>
        <v>0</v>
      </c>
      <c r="L148" s="328">
        <f>SUM(M148:O148)</f>
        <v>0</v>
      </c>
      <c r="M148" s="327">
        <f>('Pivot Table for Data Exchange'!$F$462)*100</f>
        <v>0</v>
      </c>
      <c r="N148" s="327">
        <f>('Pivot Table for Data Exchange'!$F$465)*100</f>
        <v>0</v>
      </c>
      <c r="O148" s="335">
        <f>('Pivot Table for Data Exchange'!$F$468)*100</f>
        <v>0</v>
      </c>
      <c r="P148" s="327">
        <f>('Pivot Table for Data Exchange'!$F$471)*100</f>
        <v>0</v>
      </c>
      <c r="Q148" s="332">
        <f t="shared" si="34"/>
        <v>0</v>
      </c>
      <c r="R148" s="332">
        <f t="shared" si="35"/>
        <v>0</v>
      </c>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row>
    <row r="149" spans="1:41" ht="15.75" customHeight="1">
      <c r="A149" s="298" t="s">
        <v>838</v>
      </c>
      <c r="B149" s="327">
        <f>('Pivot Table for Data Exchange'!$F$474)*100</f>
        <v>42.618963056283384</v>
      </c>
      <c r="C149" s="327">
        <f>('Pivot Table for Data Exchange'!$F$477)*100</f>
        <v>5.7469492786158005</v>
      </c>
      <c r="D149" s="328">
        <f>SUM(E149:G149)</f>
        <v>51.634087665100822</v>
      </c>
      <c r="E149" s="327">
        <f>('Pivot Table for Data Exchange'!$F$480)*100</f>
        <v>49.302070000737132</v>
      </c>
      <c r="F149" s="327">
        <f>('Pivot Table for Data Exchange'!$F$483)*100</f>
        <v>2.3320176643636876</v>
      </c>
      <c r="G149" s="335">
        <f>('Pivot Table for Data Exchange'!$F$486)*100</f>
        <v>0</v>
      </c>
      <c r="H149" s="327">
        <f>('Pivot Table for Data Exchange'!$F$489)*100</f>
        <v>0</v>
      </c>
      <c r="I149" s="333" t="s">
        <v>838</v>
      </c>
      <c r="J149" s="327">
        <f>('Pivot Table for Data Exchange'!$F$492)*100</f>
        <v>22.193548387096772</v>
      </c>
      <c r="K149" s="327">
        <f>('Pivot Table for Data Exchange'!$F$495)*100</f>
        <v>6.9400921658986174</v>
      </c>
      <c r="L149" s="328">
        <f>SUM(M149:O149)</f>
        <v>76.027649769585253</v>
      </c>
      <c r="M149" s="327">
        <f>('Pivot Table for Data Exchange'!$F$498)*100</f>
        <v>73.907834101382491</v>
      </c>
      <c r="N149" s="327">
        <f>('Pivot Table for Data Exchange'!$F$501)*100</f>
        <v>2.1198156682027647</v>
      </c>
      <c r="O149" s="335">
        <f>('Pivot Table for Data Exchange'!$F$504)*100</f>
        <v>0</v>
      </c>
      <c r="P149" s="327">
        <f>('Pivot Table for Data Exchange'!$F$507)*100</f>
        <v>0</v>
      </c>
      <c r="Q149" s="332">
        <f t="shared" si="34"/>
        <v>100</v>
      </c>
      <c r="R149" s="332">
        <f t="shared" si="35"/>
        <v>105.16129032258064</v>
      </c>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row>
    <row r="150" spans="1:41" ht="15.75" customHeight="1">
      <c r="A150" s="298" t="s">
        <v>839</v>
      </c>
      <c r="B150" s="327">
        <f>('Pivot Table for Data Exchange'!$F$510)*100</f>
        <v>0</v>
      </c>
      <c r="C150" s="327">
        <f>('Pivot Table for Data Exchange'!$F$513)*100</f>
        <v>0</v>
      </c>
      <c r="D150" s="328">
        <f t="shared" ref="D150" si="38">SUM(E150:G150)</f>
        <v>0</v>
      </c>
      <c r="E150" s="327">
        <f>('Pivot Table for Data Exchange'!$F$516)*100</f>
        <v>0</v>
      </c>
      <c r="F150" s="327">
        <f>('Pivot Table for Data Exchange'!$F$519)*100</f>
        <v>0</v>
      </c>
      <c r="G150" s="335">
        <f>('Pivot Table for Data Exchange'!$F$522)*100</f>
        <v>0</v>
      </c>
      <c r="H150" s="327">
        <f>('Pivot Table for Data Exchange'!$F$525)*100</f>
        <v>0</v>
      </c>
      <c r="I150" s="333" t="s">
        <v>839</v>
      </c>
      <c r="J150" s="327">
        <f>('Pivot Table for Data Exchange'!$F$528)*100</f>
        <v>0</v>
      </c>
      <c r="K150" s="327">
        <f>('Pivot Table for Data Exchange'!$F$531)*100</f>
        <v>0</v>
      </c>
      <c r="L150" s="328">
        <f t="shared" ref="L150" si="39">SUM(M150:O150)</f>
        <v>0</v>
      </c>
      <c r="M150" s="327">
        <f>('Pivot Table for Data Exchange'!$F$534)*100</f>
        <v>0</v>
      </c>
      <c r="N150" s="327">
        <f>('Pivot Table for Data Exchange'!$F$537)*100</f>
        <v>0</v>
      </c>
      <c r="O150" s="335">
        <f>('Pivot Table for Data Exchange'!$F$540)*100</f>
        <v>0</v>
      </c>
      <c r="P150" s="327">
        <f>('Pivot Table for Data Exchange'!$F$543)*100</f>
        <v>0</v>
      </c>
      <c r="Q150" s="332">
        <f t="shared" si="34"/>
        <v>0</v>
      </c>
      <c r="R150" s="332">
        <f t="shared" si="35"/>
        <v>0</v>
      </c>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row>
    <row r="151" spans="1:41" ht="15.75" customHeight="1">
      <c r="A151" s="304" t="s">
        <v>840</v>
      </c>
      <c r="B151" s="340">
        <f>('Pivot Table for Data Exchange'!$F$546)*100</f>
        <v>0</v>
      </c>
      <c r="C151" s="340">
        <f>('Pivot Table for Data Exchange'!$F$549)*100</f>
        <v>0</v>
      </c>
      <c r="D151" s="341">
        <f>SUM(E151:G151)</f>
        <v>0</v>
      </c>
      <c r="E151" s="340">
        <f>('Pivot Table for Data Exchange'!$F$552)*100</f>
        <v>0</v>
      </c>
      <c r="F151" s="340">
        <f>('Pivot Table for Data Exchange'!$F$555)*100</f>
        <v>0</v>
      </c>
      <c r="G151" s="342">
        <f>('Pivot Table for Data Exchange'!$F$558)*100</f>
        <v>0</v>
      </c>
      <c r="H151" s="340">
        <f>('Pivot Table for Data Exchange'!$F$561)*100</f>
        <v>0</v>
      </c>
      <c r="I151" s="343" t="s">
        <v>840</v>
      </c>
      <c r="J151" s="340">
        <f>('Pivot Table for Data Exchange'!$F$564)*100</f>
        <v>0</v>
      </c>
      <c r="K151" s="340">
        <f>('Pivot Table for Data Exchange'!$F$567)*100</f>
        <v>0</v>
      </c>
      <c r="L151" s="341">
        <f>SUM(M151:O151)</f>
        <v>0</v>
      </c>
      <c r="M151" s="340">
        <f>('Pivot Table for Data Exchange'!$F$570)*100</f>
        <v>0</v>
      </c>
      <c r="N151" s="340">
        <f>('Pivot Table for Data Exchange'!$F$573)*100</f>
        <v>0</v>
      </c>
      <c r="O151" s="342">
        <f>('Pivot Table for Data Exchange'!$F$576)*100</f>
        <v>0</v>
      </c>
      <c r="P151" s="340">
        <f>('Pivot Table for Data Exchange'!$F$579)*100</f>
        <v>0</v>
      </c>
      <c r="Q151" s="332">
        <f t="shared" si="34"/>
        <v>0</v>
      </c>
      <c r="R151" s="332">
        <f t="shared" si="35"/>
        <v>0</v>
      </c>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row>
    <row r="152" spans="1:41" s="345" customFormat="1" ht="12.75" customHeight="1">
      <c r="A152" s="346" t="s">
        <v>866</v>
      </c>
      <c r="B152" s="347"/>
      <c r="C152" s="347"/>
      <c r="D152" s="348"/>
      <c r="E152" s="347"/>
      <c r="F152" s="348"/>
      <c r="G152" s="348"/>
      <c r="H152" s="347"/>
      <c r="I152" s="346" t="s">
        <v>866</v>
      </c>
      <c r="J152" s="347"/>
      <c r="K152" s="347"/>
      <c r="L152" s="348"/>
      <c r="M152" s="347"/>
      <c r="N152" s="348"/>
      <c r="O152" s="348"/>
      <c r="P152" s="347"/>
      <c r="Q152" s="332"/>
      <c r="R152" s="332"/>
      <c r="S152" s="349"/>
      <c r="T152" s="349"/>
      <c r="U152" s="349"/>
      <c r="V152" s="349"/>
      <c r="W152" s="349"/>
      <c r="X152" s="349"/>
      <c r="Y152" s="349"/>
      <c r="Z152" s="349"/>
      <c r="AA152" s="349"/>
      <c r="AB152" s="349"/>
      <c r="AC152" s="349"/>
      <c r="AD152" s="349"/>
      <c r="AE152" s="349"/>
      <c r="AF152" s="349"/>
      <c r="AG152" s="349"/>
      <c r="AH152" s="349"/>
      <c r="AI152" s="349"/>
      <c r="AJ152" s="349"/>
      <c r="AK152" s="349"/>
      <c r="AL152" s="349"/>
      <c r="AM152" s="349"/>
      <c r="AN152" s="349"/>
      <c r="AO152" s="349"/>
    </row>
    <row r="153" spans="1:41" s="345" customFormat="1" ht="24" customHeight="1">
      <c r="A153" s="455" t="s">
        <v>872</v>
      </c>
      <c r="B153" s="467"/>
      <c r="C153" s="467"/>
      <c r="D153" s="467"/>
      <c r="E153" s="467"/>
      <c r="F153" s="467"/>
      <c r="G153" s="467"/>
      <c r="H153" s="467"/>
      <c r="I153" s="455" t="s">
        <v>872</v>
      </c>
      <c r="J153" s="467"/>
      <c r="K153" s="467"/>
      <c r="L153" s="467"/>
      <c r="M153" s="467"/>
      <c r="N153" s="467"/>
      <c r="O153" s="467"/>
      <c r="P153" s="467"/>
      <c r="Q153" s="332"/>
      <c r="R153" s="332"/>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row>
    <row r="154" spans="1:41" s="345" customFormat="1" ht="9.75" customHeight="1">
      <c r="A154" s="350"/>
      <c r="B154" s="300"/>
      <c r="C154" s="300"/>
      <c r="D154" s="300"/>
      <c r="E154" s="300"/>
      <c r="F154" s="300"/>
      <c r="G154" s="300"/>
      <c r="H154" s="300"/>
      <c r="I154" s="350"/>
      <c r="J154" s="300"/>
      <c r="K154" s="300"/>
      <c r="L154" s="300"/>
      <c r="M154" s="300"/>
      <c r="N154" s="300"/>
      <c r="O154" s="300"/>
      <c r="P154" s="300"/>
      <c r="Q154" s="332"/>
      <c r="R154" s="332"/>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row>
    <row r="155" spans="1:41" s="345" customFormat="1" ht="13.5" customHeight="1">
      <c r="A155" s="356"/>
      <c r="B155" s="357"/>
      <c r="H155" s="351" t="s">
        <v>980</v>
      </c>
      <c r="I155" s="356"/>
      <c r="P155" s="351" t="s">
        <v>980</v>
      </c>
      <c r="Q155" s="332"/>
      <c r="R155" s="332"/>
    </row>
    <row r="156" spans="1:41" ht="18">
      <c r="A156" s="293" t="s">
        <v>875</v>
      </c>
      <c r="B156" s="294"/>
      <c r="C156" s="294"/>
      <c r="D156" s="294"/>
      <c r="E156" s="294"/>
      <c r="F156" s="294"/>
      <c r="G156" s="294"/>
      <c r="H156" s="294"/>
      <c r="I156" s="293" t="s">
        <v>876</v>
      </c>
      <c r="J156" s="295"/>
      <c r="K156" s="295"/>
      <c r="L156" s="294"/>
      <c r="M156" s="295"/>
      <c r="N156" s="295"/>
      <c r="O156" s="295"/>
      <c r="P156" s="295"/>
      <c r="Q156" s="332"/>
      <c r="R156" s="332"/>
    </row>
    <row r="157" spans="1:41">
      <c r="A157" s="299"/>
      <c r="B157" s="295"/>
      <c r="C157" s="295"/>
      <c r="D157" s="295"/>
      <c r="E157" s="295"/>
      <c r="F157" s="295"/>
      <c r="G157" s="295"/>
      <c r="H157" s="295"/>
      <c r="I157" s="299"/>
      <c r="J157" s="295"/>
      <c r="K157" s="295"/>
      <c r="L157" s="295"/>
      <c r="M157" s="295"/>
      <c r="N157" s="295"/>
      <c r="O157" s="295"/>
      <c r="P157" s="295"/>
      <c r="Q157" s="332"/>
      <c r="R157" s="332"/>
    </row>
    <row r="158" spans="1:41" ht="15.75">
      <c r="A158" s="301" t="s">
        <v>846</v>
      </c>
      <c r="B158" s="295"/>
      <c r="C158" s="295"/>
      <c r="D158" s="295"/>
      <c r="E158" s="295"/>
      <c r="F158" s="295"/>
      <c r="G158" s="295"/>
      <c r="H158" s="295"/>
      <c r="I158" s="301" t="s">
        <v>847</v>
      </c>
      <c r="J158" s="295"/>
      <c r="K158" s="295"/>
      <c r="L158" s="295"/>
      <c r="M158" s="295"/>
      <c r="N158" s="295"/>
      <c r="O158" s="295"/>
      <c r="P158" s="295"/>
      <c r="Q158" s="332"/>
      <c r="R158" s="332"/>
    </row>
    <row r="159" spans="1:41" ht="15.75">
      <c r="A159" s="301" t="s">
        <v>896</v>
      </c>
      <c r="B159" s="295"/>
      <c r="C159" s="295"/>
      <c r="D159" s="295"/>
      <c r="E159" s="295"/>
      <c r="F159" s="295"/>
      <c r="G159" s="295"/>
      <c r="H159" s="295"/>
      <c r="I159" s="301" t="s">
        <v>896</v>
      </c>
      <c r="J159" s="295"/>
      <c r="K159" s="295"/>
      <c r="L159" s="295"/>
      <c r="M159" s="295"/>
      <c r="N159" s="295"/>
      <c r="O159" s="295"/>
      <c r="P159" s="295"/>
      <c r="Q159" s="332"/>
      <c r="R159" s="332"/>
    </row>
    <row r="160" spans="1:41">
      <c r="A160" s="304"/>
      <c r="B160" s="305"/>
      <c r="C160" s="305"/>
      <c r="D160" s="305"/>
      <c r="E160" s="305"/>
      <c r="F160" s="305"/>
      <c r="G160" s="305"/>
      <c r="H160" s="305"/>
      <c r="I160" s="306"/>
      <c r="L160" s="307"/>
      <c r="P160" s="304"/>
      <c r="Q160" s="332"/>
      <c r="R160" s="332"/>
    </row>
    <row r="161" spans="1:41" s="314" customFormat="1">
      <c r="A161" s="309"/>
      <c r="B161" s="310" t="s">
        <v>848</v>
      </c>
      <c r="C161" s="310"/>
      <c r="D161" s="310"/>
      <c r="E161" s="310"/>
      <c r="F161" s="310"/>
      <c r="G161" s="310"/>
      <c r="H161" s="311"/>
      <c r="I161" s="309"/>
      <c r="J161" s="310" t="s">
        <v>848</v>
      </c>
      <c r="K161" s="310"/>
      <c r="L161" s="310"/>
      <c r="M161" s="310"/>
      <c r="N161" s="310"/>
      <c r="O161" s="310"/>
      <c r="P161" s="311"/>
      <c r="Q161" s="332"/>
      <c r="R161" s="332"/>
    </row>
    <row r="162" spans="1:41" s="314" customFormat="1">
      <c r="A162" s="309"/>
      <c r="B162" s="310" t="s">
        <v>849</v>
      </c>
      <c r="C162" s="310"/>
      <c r="D162" s="450" t="s">
        <v>850</v>
      </c>
      <c r="E162" s="448"/>
      <c r="F162" s="448"/>
      <c r="G162" s="448"/>
      <c r="H162" s="317" t="s">
        <v>740</v>
      </c>
      <c r="I162" s="309"/>
      <c r="J162" s="310" t="s">
        <v>849</v>
      </c>
      <c r="K162" s="310"/>
      <c r="L162" s="450" t="s">
        <v>850</v>
      </c>
      <c r="M162" s="448"/>
      <c r="N162" s="448"/>
      <c r="O162" s="448"/>
      <c r="P162" s="317" t="s">
        <v>740</v>
      </c>
      <c r="Q162" s="332"/>
      <c r="R162" s="332"/>
    </row>
    <row r="163" spans="1:41" s="314" customFormat="1" ht="40.5" customHeight="1">
      <c r="A163" s="309"/>
      <c r="B163" s="318" t="s">
        <v>851</v>
      </c>
      <c r="C163" s="319" t="s">
        <v>852</v>
      </c>
      <c r="D163" s="320" t="s">
        <v>853</v>
      </c>
      <c r="E163" s="321" t="s">
        <v>8</v>
      </c>
      <c r="F163" s="318" t="s">
        <v>854</v>
      </c>
      <c r="G163" s="322" t="s">
        <v>864</v>
      </c>
      <c r="H163" s="323" t="s">
        <v>856</v>
      </c>
      <c r="I163" s="309"/>
      <c r="J163" s="318" t="s">
        <v>851</v>
      </c>
      <c r="K163" s="319" t="s">
        <v>852</v>
      </c>
      <c r="L163" s="320" t="s">
        <v>853</v>
      </c>
      <c r="M163" s="321" t="s">
        <v>8</v>
      </c>
      <c r="N163" s="318" t="s">
        <v>854</v>
      </c>
      <c r="O163" s="322" t="s">
        <v>864</v>
      </c>
      <c r="P163" s="323" t="s">
        <v>856</v>
      </c>
      <c r="Q163" s="332"/>
      <c r="R163" s="332"/>
      <c r="T163" s="352"/>
    </row>
    <row r="164" spans="1:41" ht="15.75" customHeight="1">
      <c r="A164" s="353" t="s">
        <v>825</v>
      </c>
      <c r="B164" s="327">
        <f>('Pivot Table for Data Exchange'!$G$6)*100</f>
        <v>89.566012026664282</v>
      </c>
      <c r="C164" s="327">
        <f>('Pivot Table for Data Exchange'!$G$9)*100</f>
        <v>0.2741491991742887</v>
      </c>
      <c r="D164" s="328">
        <f>SUM(E164:G164)</f>
        <v>10.159838774161438</v>
      </c>
      <c r="E164" s="327">
        <f>('Pivot Table for Data Exchange'!$G$12)*100</f>
        <v>10.159838774161438</v>
      </c>
      <c r="F164" s="327">
        <f>('Pivot Table for Data Exchange'!$G$15)*100</f>
        <v>0</v>
      </c>
      <c r="G164" s="331">
        <f>('Pivot Table for Data Exchange'!$G$18)*100</f>
        <v>0</v>
      </c>
      <c r="H164" s="327">
        <f>('Pivot Table for Data Exchange'!$G$21)*100</f>
        <v>0</v>
      </c>
      <c r="I164" s="330" t="s">
        <v>825</v>
      </c>
      <c r="J164" s="327">
        <f>('Pivot Table for Data Exchange'!$G$24)*100</f>
        <v>14.104626596631325</v>
      </c>
      <c r="K164" s="327">
        <f>('Pivot Table for Data Exchange'!$G$27)*100</f>
        <v>0.69195433489039204</v>
      </c>
      <c r="L164" s="328">
        <f>SUM(M164:O164)</f>
        <v>85.203419068478283</v>
      </c>
      <c r="M164" s="327">
        <f>('Pivot Table for Data Exchange'!$G$30)*100</f>
        <v>85.203419068478283</v>
      </c>
      <c r="N164" s="327">
        <f>('Pivot Table for Data Exchange'!$G$33)*100</f>
        <v>0</v>
      </c>
      <c r="O164" s="331">
        <f>('Pivot Table for Data Exchange'!$G$36)*100</f>
        <v>0</v>
      </c>
      <c r="P164" s="327">
        <f>('Pivot Table for Data Exchange'!$G$39)*100</f>
        <v>0</v>
      </c>
      <c r="Q164" s="332">
        <f>SUM(B164,C164,D164,H164)</f>
        <v>100.00000000000001</v>
      </c>
      <c r="R164" s="332">
        <f t="shared" si="35"/>
        <v>100</v>
      </c>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row>
    <row r="165" spans="1:41" ht="15.75" customHeight="1">
      <c r="A165" s="298" t="s">
        <v>826</v>
      </c>
      <c r="B165" s="327">
        <f>('Pivot Table for Data Exchange'!$G$42)*100</f>
        <v>66.740986973677096</v>
      </c>
      <c r="C165" s="327">
        <f>('Pivot Table for Data Exchange'!$G$45)*100</f>
        <v>9.5616453164693809</v>
      </c>
      <c r="D165" s="328">
        <f t="shared" ref="D165:D167" si="40">SUM(E165:G165)</f>
        <v>23.697367709853523</v>
      </c>
      <c r="E165" s="327">
        <f>('Pivot Table for Data Exchange'!$G$48)*100</f>
        <v>23.673044700286471</v>
      </c>
      <c r="F165" s="327">
        <f>('Pivot Table for Data Exchange'!$G$51)*100</f>
        <v>2.4323009567050431E-2</v>
      </c>
      <c r="G165" s="335">
        <f>('Pivot Table for Data Exchange'!$G$54)*100</f>
        <v>0</v>
      </c>
      <c r="H165" s="339">
        <f>('Pivot Table for Data Exchange'!$G$57)*100</f>
        <v>0</v>
      </c>
      <c r="I165" s="333" t="s">
        <v>826</v>
      </c>
      <c r="J165" s="327">
        <f>('Pivot Table for Data Exchange'!$G$60)*100</f>
        <v>14.759192128430865</v>
      </c>
      <c r="K165" s="327">
        <f>('Pivot Table for Data Exchange'!$G$63)*100</f>
        <v>0</v>
      </c>
      <c r="L165" s="328">
        <f t="shared" ref="L165:L167" si="41">SUM(M165:O165)</f>
        <v>85.240807871569132</v>
      </c>
      <c r="M165" s="327">
        <f>('Pivot Table for Data Exchange'!$G$66)*100</f>
        <v>85.240807871569132</v>
      </c>
      <c r="N165" s="327">
        <f>('Pivot Table for Data Exchange'!$G$69)*100</f>
        <v>0</v>
      </c>
      <c r="O165" s="335">
        <f>('Pivot Table for Data Exchange'!$G$72)*100</f>
        <v>0</v>
      </c>
      <c r="P165" s="327">
        <f>('Pivot Table for Data Exchange'!$G$75)*100</f>
        <v>0</v>
      </c>
      <c r="Q165" s="332">
        <f t="shared" si="34"/>
        <v>100</v>
      </c>
      <c r="R165" s="332">
        <f t="shared" si="35"/>
        <v>100</v>
      </c>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row>
    <row r="166" spans="1:41" ht="15.75" customHeight="1">
      <c r="A166" s="298" t="s">
        <v>827</v>
      </c>
      <c r="B166" s="327">
        <f>('Pivot Table for Data Exchange'!$G$78)*100</f>
        <v>0</v>
      </c>
      <c r="C166" s="327">
        <f>('Pivot Table for Data Exchange'!$G$81)*100</f>
        <v>0</v>
      </c>
      <c r="D166" s="328">
        <f t="shared" si="40"/>
        <v>0</v>
      </c>
      <c r="E166" s="327">
        <f>('Pivot Table for Data Exchange'!$G$84)*100</f>
        <v>0</v>
      </c>
      <c r="F166" s="327">
        <f>('Pivot Table for Data Exchange'!$G$87)*100</f>
        <v>0</v>
      </c>
      <c r="G166" s="335">
        <f>('Pivot Table for Data Exchange'!$G$90)*100</f>
        <v>0</v>
      </c>
      <c r="H166" s="327">
        <f>('Pivot Table for Data Exchange'!$G$93)*100</f>
        <v>0</v>
      </c>
      <c r="I166" s="333" t="s">
        <v>827</v>
      </c>
      <c r="J166" s="327">
        <f>('Pivot Table for Data Exchange'!$G$96)*100</f>
        <v>0</v>
      </c>
      <c r="K166" s="327">
        <f>('Pivot Table for Data Exchange'!$G$99)*100</f>
        <v>0</v>
      </c>
      <c r="L166" s="328">
        <f t="shared" si="41"/>
        <v>0</v>
      </c>
      <c r="M166" s="327">
        <f>('Pivot Table for Data Exchange'!$G$102)*100</f>
        <v>0</v>
      </c>
      <c r="N166" s="327">
        <f>('Pivot Table for Data Exchange'!$G$105)*100</f>
        <v>0</v>
      </c>
      <c r="O166" s="335">
        <f>('Pivot Table for Data Exchange'!$G$108)*100</f>
        <v>0</v>
      </c>
      <c r="P166" s="327">
        <f>('Pivot Table for Data Exchange'!$G$111)*100</f>
        <v>0</v>
      </c>
      <c r="Q166" s="332">
        <f t="shared" si="34"/>
        <v>0</v>
      </c>
      <c r="R166" s="332">
        <f t="shared" si="35"/>
        <v>0</v>
      </c>
      <c r="S166" s="333"/>
      <c r="T166" s="307"/>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row>
    <row r="167" spans="1:41" ht="15.75" customHeight="1">
      <c r="A167" s="298" t="s">
        <v>828</v>
      </c>
      <c r="B167" s="327">
        <f>('Pivot Table for Data Exchange'!$G$114)*100</f>
        <v>0</v>
      </c>
      <c r="C167" s="327">
        <f>('Pivot Table for Data Exchange'!$G$117)*100</f>
        <v>0</v>
      </c>
      <c r="D167" s="328">
        <f t="shared" si="40"/>
        <v>0</v>
      </c>
      <c r="E167" s="327">
        <f>('Pivot Table for Data Exchange'!$G$120)*100</f>
        <v>0</v>
      </c>
      <c r="F167" s="327">
        <f>('Pivot Table for Data Exchange'!$G$123)*100</f>
        <v>0</v>
      </c>
      <c r="G167" s="335">
        <f>('Pivot Table for Data Exchange'!$G$126)*100</f>
        <v>0</v>
      </c>
      <c r="H167" s="327">
        <f>('Pivot Table for Data Exchange'!$G$129)*100</f>
        <v>0</v>
      </c>
      <c r="I167" s="333" t="s">
        <v>828</v>
      </c>
      <c r="J167" s="327">
        <f>('Pivot Table for Data Exchange'!$G$132)*100</f>
        <v>0</v>
      </c>
      <c r="K167" s="327">
        <f>('Pivot Table for Data Exchange'!$G$135)*100</f>
        <v>0</v>
      </c>
      <c r="L167" s="328">
        <f t="shared" si="41"/>
        <v>0</v>
      </c>
      <c r="M167" s="327">
        <f>('Pivot Table for Data Exchange'!$G$138)*100</f>
        <v>0</v>
      </c>
      <c r="N167" s="327">
        <f>('Pivot Table for Data Exchange'!$G$141)*100</f>
        <v>0</v>
      </c>
      <c r="O167" s="335">
        <f>('Pivot Table for Data Exchange'!$G$144)*100</f>
        <v>0</v>
      </c>
      <c r="P167" s="327">
        <f>('Pivot Table for Data Exchange'!$G$147)*100</f>
        <v>0</v>
      </c>
      <c r="Q167" s="332">
        <f t="shared" si="34"/>
        <v>0</v>
      </c>
      <c r="R167" s="332">
        <f t="shared" si="35"/>
        <v>0</v>
      </c>
      <c r="S167" s="333"/>
      <c r="U167" s="333"/>
      <c r="V167" s="333"/>
      <c r="W167" s="333"/>
      <c r="X167" s="333"/>
      <c r="Y167" s="333"/>
      <c r="Z167" s="333"/>
      <c r="AA167" s="333"/>
      <c r="AB167" s="333"/>
      <c r="AC167" s="333"/>
      <c r="AD167" s="333"/>
      <c r="AE167" s="333"/>
      <c r="AF167" s="333"/>
      <c r="AG167" s="333"/>
      <c r="AH167" s="333"/>
      <c r="AI167" s="333"/>
      <c r="AJ167" s="333"/>
      <c r="AK167" s="333"/>
      <c r="AL167" s="333"/>
      <c r="AM167" s="333"/>
      <c r="AN167" s="333"/>
      <c r="AO167" s="333"/>
    </row>
    <row r="168" spans="1:41" ht="10.5" customHeight="1">
      <c r="B168" s="327"/>
      <c r="C168" s="327"/>
      <c r="D168" s="328"/>
      <c r="E168" s="327"/>
      <c r="F168" s="327"/>
      <c r="G168" s="335"/>
      <c r="H168" s="327"/>
      <c r="I168" s="333"/>
      <c r="J168" s="327"/>
      <c r="K168" s="327"/>
      <c r="L168" s="328"/>
      <c r="M168" s="327"/>
      <c r="N168" s="327"/>
      <c r="O168" s="335"/>
      <c r="P168" s="327"/>
      <c r="Q168" s="332">
        <f t="shared" si="34"/>
        <v>0</v>
      </c>
      <c r="R168" s="332">
        <f t="shared" si="35"/>
        <v>0</v>
      </c>
      <c r="S168" s="333"/>
      <c r="U168" s="333"/>
      <c r="V168" s="333"/>
      <c r="W168" s="333"/>
      <c r="X168" s="333"/>
      <c r="Y168" s="333"/>
      <c r="Z168" s="333"/>
      <c r="AA168" s="333"/>
      <c r="AB168" s="333"/>
      <c r="AC168" s="333"/>
      <c r="AD168" s="333"/>
      <c r="AE168" s="333"/>
      <c r="AF168" s="333"/>
      <c r="AG168" s="333"/>
      <c r="AH168" s="333"/>
      <c r="AI168" s="333"/>
      <c r="AJ168" s="333"/>
      <c r="AK168" s="333"/>
      <c r="AL168" s="333"/>
      <c r="AM168" s="333"/>
      <c r="AN168" s="333"/>
      <c r="AO168" s="333"/>
    </row>
    <row r="169" spans="1:41" ht="15.75" customHeight="1">
      <c r="A169" s="298" t="s">
        <v>829</v>
      </c>
      <c r="B169" s="327">
        <f>('Pivot Table for Data Exchange'!$G$150)*100</f>
        <v>90.325333420023895</v>
      </c>
      <c r="C169" s="327">
        <f>('Pivot Table for Data Exchange'!$G$153)*100</f>
        <v>0.48438350820444886</v>
      </c>
      <c r="D169" s="328">
        <f t="shared" ref="D169:D172" si="42">SUM(E169:G169)</f>
        <v>9.1902830717716579</v>
      </c>
      <c r="E169" s="327">
        <f>('Pivot Table for Data Exchange'!$G$156)*100</f>
        <v>9.1902830717716579</v>
      </c>
      <c r="F169" s="327">
        <f>('Pivot Table for Data Exchange'!$G$159)*100</f>
        <v>0</v>
      </c>
      <c r="G169" s="335">
        <f>('Pivot Table for Data Exchange'!$G$162)*100</f>
        <v>0</v>
      </c>
      <c r="H169" s="327">
        <f>('Pivot Table for Data Exchange'!$G$165)*100</f>
        <v>0</v>
      </c>
      <c r="I169" s="333" t="s">
        <v>829</v>
      </c>
      <c r="J169" s="327">
        <f>('Pivot Table for Data Exchange'!$G$168)*100</f>
        <v>47.890818858560799</v>
      </c>
      <c r="K169" s="327">
        <f>('Pivot Table for Data Exchange'!$G$171)*100</f>
        <v>29.776674937965257</v>
      </c>
      <c r="L169" s="328">
        <f t="shared" ref="L169:L172" si="43">SUM(M169:O169)</f>
        <v>22.332506203473944</v>
      </c>
      <c r="M169" s="327">
        <f>('Pivot Table for Data Exchange'!$G$174)*100</f>
        <v>22.332506203473944</v>
      </c>
      <c r="N169" s="327">
        <f>('Pivot Table for Data Exchange'!$G$177)*100</f>
        <v>0</v>
      </c>
      <c r="O169" s="335">
        <f>('Pivot Table for Data Exchange'!$G$180)*100</f>
        <v>0</v>
      </c>
      <c r="P169" s="327">
        <f>('Pivot Table for Data Exchange'!$G$183)*100</f>
        <v>0</v>
      </c>
      <c r="Q169" s="332">
        <f t="shared" si="34"/>
        <v>100</v>
      </c>
      <c r="R169" s="332">
        <f t="shared" si="35"/>
        <v>100</v>
      </c>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row>
    <row r="170" spans="1:41" ht="15.75" customHeight="1">
      <c r="A170" s="298" t="s">
        <v>830</v>
      </c>
      <c r="B170" s="327">
        <f>('Pivot Table for Data Exchange'!$G$186)*100</f>
        <v>0</v>
      </c>
      <c r="C170" s="327">
        <f>('Pivot Table for Data Exchange'!$G$189)*100</f>
        <v>0</v>
      </c>
      <c r="D170" s="328">
        <f t="shared" si="42"/>
        <v>0</v>
      </c>
      <c r="E170" s="327">
        <f>('Pivot Table for Data Exchange'!$G$192)*100</f>
        <v>0</v>
      </c>
      <c r="F170" s="327">
        <f>('Pivot Table for Data Exchange'!$G$195)*100</f>
        <v>0</v>
      </c>
      <c r="G170" s="335">
        <f>('Pivot Table for Data Exchange'!$G$198)*100</f>
        <v>0</v>
      </c>
      <c r="H170" s="327">
        <f>('Pivot Table for Data Exchange'!$G$201)*100</f>
        <v>0</v>
      </c>
      <c r="I170" s="333" t="s">
        <v>830</v>
      </c>
      <c r="J170" s="327">
        <f>('Pivot Table for Data Exchange'!$G$204)*100</f>
        <v>0</v>
      </c>
      <c r="K170" s="327">
        <f>('Pivot Table for Data Exchange'!$G$207)*100</f>
        <v>0</v>
      </c>
      <c r="L170" s="328">
        <f t="shared" si="43"/>
        <v>0</v>
      </c>
      <c r="M170" s="327">
        <f>('Pivot Table for Data Exchange'!$G$210)*100</f>
        <v>0</v>
      </c>
      <c r="N170" s="327">
        <f>('Pivot Table for Data Exchange'!$G$213)*100</f>
        <v>0</v>
      </c>
      <c r="O170" s="335">
        <f>('Pivot Table for Data Exchange'!$G$216)*100</f>
        <v>0</v>
      </c>
      <c r="P170" s="327">
        <f>('Pivot Table for Data Exchange'!$G$219)*100</f>
        <v>0</v>
      </c>
      <c r="Q170" s="332">
        <f t="shared" si="34"/>
        <v>0</v>
      </c>
      <c r="R170" s="332">
        <f t="shared" si="35"/>
        <v>0</v>
      </c>
      <c r="S170" s="333"/>
      <c r="T170" s="333"/>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row>
    <row r="171" spans="1:41" ht="15.75" customHeight="1">
      <c r="A171" s="298" t="s">
        <v>831</v>
      </c>
      <c r="B171" s="327">
        <f>('Pivot Table for Data Exchange'!$G$222)*100</f>
        <v>87.707317073170714</v>
      </c>
      <c r="C171" s="327">
        <f>('Pivot Table for Data Exchange'!$G$225)*100</f>
        <v>0</v>
      </c>
      <c r="D171" s="328">
        <f t="shared" si="42"/>
        <v>12.292682926829281</v>
      </c>
      <c r="E171" s="327">
        <f>('Pivot Table for Data Exchange'!$G$228)*100</f>
        <v>12.292682926829281</v>
      </c>
      <c r="F171" s="327">
        <f>('Pivot Table for Data Exchange'!$G$231)*100</f>
        <v>0</v>
      </c>
      <c r="G171" s="335">
        <f>('Pivot Table for Data Exchange'!$G$234)*100</f>
        <v>0</v>
      </c>
      <c r="H171" s="327">
        <f>('Pivot Table for Data Exchange'!$G$237)*100</f>
        <v>0</v>
      </c>
      <c r="I171" s="333" t="s">
        <v>831</v>
      </c>
      <c r="J171" s="327">
        <f>('Pivot Table for Data Exchange'!$G$240)*100</f>
        <v>86.111111111111114</v>
      </c>
      <c r="K171" s="327">
        <f>('Pivot Table for Data Exchange'!$G$243)*100</f>
        <v>0</v>
      </c>
      <c r="L171" s="328">
        <f t="shared" si="43"/>
        <v>13.888888888888889</v>
      </c>
      <c r="M171" s="327">
        <f>('Pivot Table for Data Exchange'!$G$246)*100</f>
        <v>13.888888888888889</v>
      </c>
      <c r="N171" s="327">
        <f>('Pivot Table for Data Exchange'!$G$249)*100</f>
        <v>0</v>
      </c>
      <c r="O171" s="335">
        <f>('Pivot Table for Data Exchange'!$G$252)*100</f>
        <v>0</v>
      </c>
      <c r="P171" s="327">
        <f>('Pivot Table for Data Exchange'!$G$255)*100</f>
        <v>0</v>
      </c>
      <c r="Q171" s="332">
        <f t="shared" si="34"/>
        <v>100</v>
      </c>
      <c r="R171" s="332">
        <f t="shared" si="35"/>
        <v>100</v>
      </c>
      <c r="S171" s="333"/>
      <c r="T171" s="307"/>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row>
    <row r="172" spans="1:41" ht="15.75" customHeight="1">
      <c r="A172" s="298" t="s">
        <v>832</v>
      </c>
      <c r="B172" s="327">
        <f>('Pivot Table for Data Exchange'!$G$258)*100</f>
        <v>76.907722772277225</v>
      </c>
      <c r="C172" s="327">
        <f>('Pivot Table for Data Exchange'!$G$261)*100</f>
        <v>2.4776237623762376</v>
      </c>
      <c r="D172" s="328">
        <f t="shared" si="42"/>
        <v>20.614653465346535</v>
      </c>
      <c r="E172" s="327">
        <f>('Pivot Table for Data Exchange'!$G$264)*100</f>
        <v>20.614653465346535</v>
      </c>
      <c r="F172" s="327">
        <f>('Pivot Table for Data Exchange'!$G$267)*100</f>
        <v>0</v>
      </c>
      <c r="G172" s="335">
        <f>('Pivot Table for Data Exchange'!$G$270)*100</f>
        <v>0</v>
      </c>
      <c r="H172" s="327">
        <f>('Pivot Table for Data Exchange'!$G$273)*100</f>
        <v>0</v>
      </c>
      <c r="I172" s="333" t="s">
        <v>832</v>
      </c>
      <c r="J172" s="327">
        <f>('Pivot Table for Data Exchange'!$G$276)*100</f>
        <v>76.337859424920126</v>
      </c>
      <c r="K172" s="327">
        <f>('Pivot Table for Data Exchange'!$G$279)*100</f>
        <v>10.862619808306709</v>
      </c>
      <c r="L172" s="328">
        <f t="shared" si="43"/>
        <v>12.799520766773162</v>
      </c>
      <c r="M172" s="327">
        <f>('Pivot Table for Data Exchange'!$G$282)*100</f>
        <v>12.799520766773162</v>
      </c>
      <c r="N172" s="327">
        <f>('Pivot Table for Data Exchange'!$G$285)*100</f>
        <v>0</v>
      </c>
      <c r="O172" s="335">
        <f>('Pivot Table for Data Exchange'!$G$288)*100</f>
        <v>0</v>
      </c>
      <c r="P172" s="327">
        <f>('Pivot Table for Data Exchange'!$G$291)*100</f>
        <v>0</v>
      </c>
      <c r="Q172" s="332">
        <f t="shared" si="34"/>
        <v>100</v>
      </c>
      <c r="R172" s="332">
        <f t="shared" si="35"/>
        <v>99.999999999999986</v>
      </c>
      <c r="S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row>
    <row r="173" spans="1:41" ht="11.25" customHeight="1">
      <c r="B173" s="327"/>
      <c r="C173" s="327"/>
      <c r="D173" s="328"/>
      <c r="E173" s="327"/>
      <c r="F173" s="327"/>
      <c r="G173" s="335"/>
      <c r="H173" s="327"/>
      <c r="I173" s="333"/>
      <c r="J173" s="327"/>
      <c r="K173" s="327"/>
      <c r="L173" s="328"/>
      <c r="M173" s="327"/>
      <c r="N173" s="327"/>
      <c r="O173" s="335"/>
      <c r="P173" s="327"/>
      <c r="Q173" s="332">
        <f t="shared" si="34"/>
        <v>0</v>
      </c>
      <c r="R173" s="332">
        <f t="shared" si="35"/>
        <v>0</v>
      </c>
      <c r="S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row>
    <row r="174" spans="1:41" ht="15.75" customHeight="1">
      <c r="A174" s="298" t="s">
        <v>833</v>
      </c>
      <c r="B174" s="327">
        <f>('Pivot Table for Data Exchange'!$G$294)*100</f>
        <v>48.394412443999215</v>
      </c>
      <c r="C174" s="327">
        <f>('Pivot Table for Data Exchange'!$G$297)*100</f>
        <v>0.14887163647494228</v>
      </c>
      <c r="D174" s="328">
        <f t="shared" ref="D174:D176" si="44">SUM(E174:G174)</f>
        <v>51.456715919525841</v>
      </c>
      <c r="E174" s="327">
        <f>('Pivot Table for Data Exchange'!$G$300)*100</f>
        <v>51.456715919525841</v>
      </c>
      <c r="F174" s="327">
        <f>('Pivot Table for Data Exchange'!$G$303)*100</f>
        <v>0</v>
      </c>
      <c r="G174" s="335">
        <f>('Pivot Table for Data Exchange'!$G$306)*100</f>
        <v>0</v>
      </c>
      <c r="H174" s="327">
        <f>('Pivot Table for Data Exchange'!$G$309)*100</f>
        <v>0</v>
      </c>
      <c r="I174" s="333" t="s">
        <v>833</v>
      </c>
      <c r="J174" s="327">
        <f>('Pivot Table for Data Exchange'!$G$312)*100</f>
        <v>53.829604130808953</v>
      </c>
      <c r="K174" s="327">
        <f>('Pivot Table for Data Exchange'!$G$315)*100</f>
        <v>12.069707401032701</v>
      </c>
      <c r="L174" s="328">
        <f t="shared" ref="L174:L176" si="45">SUM(M174:O174)</f>
        <v>34.100688468158346</v>
      </c>
      <c r="M174" s="327">
        <f>('Pivot Table for Data Exchange'!$G$318)*100</f>
        <v>34.100688468158346</v>
      </c>
      <c r="N174" s="327">
        <f>('Pivot Table for Data Exchange'!$G$321)*100</f>
        <v>0</v>
      </c>
      <c r="O174" s="335">
        <f>('Pivot Table for Data Exchange'!$G$324)*100</f>
        <v>0</v>
      </c>
      <c r="P174" s="327">
        <f>('Pivot Table for Data Exchange'!$G$327)*100</f>
        <v>0</v>
      </c>
      <c r="Q174" s="332">
        <f t="shared" si="34"/>
        <v>100</v>
      </c>
      <c r="R174" s="332">
        <f t="shared" si="35"/>
        <v>100</v>
      </c>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row>
    <row r="175" spans="1:41" ht="15.75" customHeight="1">
      <c r="A175" s="298" t="s">
        <v>834</v>
      </c>
      <c r="B175" s="327">
        <f>('Pivot Table for Data Exchange'!$G$330)*100</f>
        <v>75.837575428260934</v>
      </c>
      <c r="C175" s="327">
        <f>('Pivot Table for Data Exchange'!$G$333)*100</f>
        <v>0.56124345811765375</v>
      </c>
      <c r="D175" s="328">
        <f t="shared" si="44"/>
        <v>23.601181113621415</v>
      </c>
      <c r="E175" s="327">
        <f>('Pivot Table for Data Exchange'!$G$336)*100</f>
        <v>19.398647296021963</v>
      </c>
      <c r="F175" s="327">
        <f>('Pivot Table for Data Exchange'!$G$339)*100</f>
        <v>0.16086595933308548</v>
      </c>
      <c r="G175" s="335">
        <f>('Pivot Table for Data Exchange'!$G$342)*100</f>
        <v>4.041667858266365</v>
      </c>
      <c r="H175" s="327">
        <f>('Pivot Table for Data Exchange'!$G$345)*100</f>
        <v>0</v>
      </c>
      <c r="I175" s="333" t="s">
        <v>834</v>
      </c>
      <c r="J175" s="327">
        <f>('Pivot Table for Data Exchange'!$G$348)*100</f>
        <v>51.090674841174646</v>
      </c>
      <c r="K175" s="327">
        <f>('Pivot Table for Data Exchange'!$G$351)*100</f>
        <v>5.362299524634591</v>
      </c>
      <c r="L175" s="328">
        <f t="shared" si="45"/>
        <v>43.547025634190767</v>
      </c>
      <c r="M175" s="327">
        <f>('Pivot Table for Data Exchange'!$G$354)*100</f>
        <v>35.914523079657023</v>
      </c>
      <c r="N175" s="327">
        <f>('Pivot Table for Data Exchange'!$G$357)*100</f>
        <v>0.41316806610689055</v>
      </c>
      <c r="O175" s="335">
        <f>('Pivot Table for Data Exchange'!$G$360)*100</f>
        <v>7.2193344884268509</v>
      </c>
      <c r="P175" s="327">
        <f>('Pivot Table for Data Exchange'!$G$363)*100</f>
        <v>0</v>
      </c>
      <c r="Q175" s="332">
        <f t="shared" si="34"/>
        <v>100</v>
      </c>
      <c r="R175" s="332">
        <f t="shared" si="35"/>
        <v>100</v>
      </c>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row>
    <row r="176" spans="1:41" ht="15.75" customHeight="1">
      <c r="A176" s="298" t="s">
        <v>835</v>
      </c>
      <c r="B176" s="327">
        <f>('Pivot Table for Data Exchange'!$G$366)*100</f>
        <v>74.983767676146343</v>
      </c>
      <c r="C176" s="327">
        <f>('Pivot Table for Data Exchange'!$G$369)*100</f>
        <v>1.0422860579716089</v>
      </c>
      <c r="D176" s="328">
        <f t="shared" si="44"/>
        <v>23.973946265882049</v>
      </c>
      <c r="E176" s="327">
        <f>('Pivot Table for Data Exchange'!$G$372)*100</f>
        <v>17.093149617600623</v>
      </c>
      <c r="F176" s="327">
        <f>('Pivot Table for Data Exchange'!$G$375)*100</f>
        <v>5.7534190400032807</v>
      </c>
      <c r="G176" s="335">
        <f>('Pivot Table for Data Exchange'!$G$378)*100</f>
        <v>1.1273776082781435</v>
      </c>
      <c r="H176" s="327">
        <f>('Pivot Table for Data Exchange'!$G$381)*100</f>
        <v>0</v>
      </c>
      <c r="I176" s="333" t="s">
        <v>835</v>
      </c>
      <c r="J176" s="327">
        <f>('Pivot Table for Data Exchange'!$G$384)*100</f>
        <v>48.030909233545152</v>
      </c>
      <c r="K176" s="327">
        <f>('Pivot Table for Data Exchange'!$G$387)*100</f>
        <v>2.3534949399858791E-2</v>
      </c>
      <c r="L176" s="328">
        <f t="shared" si="45"/>
        <v>51.945555817054995</v>
      </c>
      <c r="M176" s="327">
        <f>('Pivot Table for Data Exchange'!$G$390)*100</f>
        <v>43.276849454773675</v>
      </c>
      <c r="N176" s="327">
        <f>('Pivot Table for Data Exchange'!$G$393)*100</f>
        <v>4.8599670510708401</v>
      </c>
      <c r="O176" s="335">
        <f>('Pivot Table for Data Exchange'!$G$396)*100</f>
        <v>3.808739311210481</v>
      </c>
      <c r="P176" s="327">
        <f>('Pivot Table for Data Exchange'!$G$399)*100</f>
        <v>0</v>
      </c>
      <c r="Q176" s="332">
        <f t="shared" si="34"/>
        <v>100</v>
      </c>
      <c r="R176" s="332">
        <f t="shared" si="35"/>
        <v>100</v>
      </c>
      <c r="S176" s="333"/>
      <c r="T176" s="307"/>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row>
    <row r="177" spans="1:41" ht="15.75" customHeight="1">
      <c r="A177" s="298" t="s">
        <v>836</v>
      </c>
      <c r="B177" s="327">
        <f>('Pivot Table for Data Exchange'!$G$402)*100</f>
        <v>94.089568743088833</v>
      </c>
      <c r="C177" s="327">
        <f>('Pivot Table for Data Exchange'!$G$405)*100</f>
        <v>4.976041282712864E-2</v>
      </c>
      <c r="D177" s="328">
        <f>SUM(E177:G177)</f>
        <v>5.8606708440840389</v>
      </c>
      <c r="E177" s="327">
        <f>('Pivot Table for Data Exchange'!$G$408)*100</f>
        <v>5.8496129745668997</v>
      </c>
      <c r="F177" s="327">
        <f>('Pivot Table for Data Exchange'!$G$411)*100</f>
        <v>0</v>
      </c>
      <c r="G177" s="335">
        <f>('Pivot Table for Data Exchange'!$G$414)*100</f>
        <v>1.1057869517139699E-2</v>
      </c>
      <c r="H177" s="327">
        <f>('Pivot Table for Data Exchange'!$G$417)*100</f>
        <v>0</v>
      </c>
      <c r="I177" s="333" t="s">
        <v>836</v>
      </c>
      <c r="J177" s="327">
        <f>('Pivot Table for Data Exchange'!$G$420)*100</f>
        <v>79.237386654266444</v>
      </c>
      <c r="K177" s="327">
        <f>('Pivot Table for Data Exchange'!$G$423)*100</f>
        <v>0</v>
      </c>
      <c r="L177" s="328">
        <f>SUM(M177:O177)</f>
        <v>20.762613345733548</v>
      </c>
      <c r="M177" s="327">
        <f>('Pivot Table for Data Exchange'!$G$426)*100</f>
        <v>20.762613345733548</v>
      </c>
      <c r="N177" s="327">
        <f>('Pivot Table for Data Exchange'!$G$429)*100</f>
        <v>0</v>
      </c>
      <c r="O177" s="335">
        <f>('Pivot Table for Data Exchange'!$G$432)*100</f>
        <v>0</v>
      </c>
      <c r="P177" s="327">
        <f>('Pivot Table for Data Exchange'!$G$435)*100</f>
        <v>0</v>
      </c>
      <c r="Q177" s="332">
        <f t="shared" si="34"/>
        <v>100</v>
      </c>
      <c r="R177" s="332">
        <f t="shared" si="35"/>
        <v>100</v>
      </c>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row>
    <row r="178" spans="1:41" ht="11.25" customHeight="1">
      <c r="B178" s="327"/>
      <c r="C178" s="327"/>
      <c r="D178" s="328"/>
      <c r="E178" s="327"/>
      <c r="F178" s="327"/>
      <c r="G178" s="335"/>
      <c r="H178" s="327"/>
      <c r="I178" s="333"/>
      <c r="J178" s="327"/>
      <c r="K178" s="327"/>
      <c r="L178" s="328"/>
      <c r="M178" s="327"/>
      <c r="N178" s="327"/>
      <c r="O178" s="335"/>
      <c r="P178" s="327"/>
      <c r="Q178" s="332">
        <f t="shared" si="34"/>
        <v>0</v>
      </c>
      <c r="R178" s="332">
        <f t="shared" si="35"/>
        <v>0</v>
      </c>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row>
    <row r="179" spans="1:41" ht="15.75" customHeight="1">
      <c r="A179" s="298" t="s">
        <v>837</v>
      </c>
      <c r="B179" s="327">
        <f>('Pivot Table for Data Exchange'!$G$438)*100</f>
        <v>80.365580020796472</v>
      </c>
      <c r="C179" s="327">
        <f>('Pivot Table for Data Exchange'!$G$441)*100</f>
        <v>4.3952301901478252</v>
      </c>
      <c r="D179" s="328">
        <f>SUM(E179:G179)</f>
        <v>15.12547810594037</v>
      </c>
      <c r="E179" s="327">
        <f>('Pivot Table for Data Exchange'!$G$444)*100</f>
        <v>12.782530966670924</v>
      </c>
      <c r="F179" s="327">
        <f>('Pivot Table for Data Exchange'!$G$447)*100</f>
        <v>2.3283531264632016</v>
      </c>
      <c r="G179" s="334">
        <f>('Pivot Table for Data Exchange'!$G$450)*100</f>
        <v>1.4594012806246238E-2</v>
      </c>
      <c r="H179" s="327">
        <f>('Pivot Table for Data Exchange'!$G$453)*100</f>
        <v>0.11371168311533526</v>
      </c>
      <c r="I179" s="333" t="s">
        <v>837</v>
      </c>
      <c r="J179" s="362">
        <f>('Pivot Table for Data Exchange'!$G$456)*100</f>
        <v>13.023531152878496</v>
      </c>
      <c r="K179" s="327">
        <f>('Pivot Table for Data Exchange'!$G$459)*100</f>
        <v>0</v>
      </c>
      <c r="L179" s="328">
        <f>SUM(M179:O179)</f>
        <v>86.976468847121495</v>
      </c>
      <c r="M179" s="327">
        <f>('Pivot Table for Data Exchange'!$G$462)*100</f>
        <v>86.976468847121495</v>
      </c>
      <c r="N179" s="339">
        <f>('Pivot Table for Data Exchange'!$G$465)*100</f>
        <v>0</v>
      </c>
      <c r="O179" s="335">
        <f>('Pivot Table for Data Exchange'!$G$468)*100</f>
        <v>0</v>
      </c>
      <c r="P179" s="339">
        <f>('Pivot Table for Data Exchange'!$G$471)*100</f>
        <v>0</v>
      </c>
      <c r="Q179" s="332">
        <f t="shared" si="34"/>
        <v>100.00000000000001</v>
      </c>
      <c r="R179" s="332">
        <f t="shared" si="35"/>
        <v>99.999999999999986</v>
      </c>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row>
    <row r="180" spans="1:41" ht="15.75" customHeight="1">
      <c r="A180" s="298" t="s">
        <v>838</v>
      </c>
      <c r="B180" s="327">
        <f>('Pivot Table for Data Exchange'!$G$474)*100</f>
        <v>58.586091285861585</v>
      </c>
      <c r="C180" s="327">
        <f>('Pivot Table for Data Exchange'!$G$477)*100</f>
        <v>4.0682083019273048</v>
      </c>
      <c r="D180" s="328">
        <f>SUM(E180:G180)</f>
        <v>37.345700412211116</v>
      </c>
      <c r="E180" s="327">
        <f>('Pivot Table for Data Exchange'!$G$480)*100</f>
        <v>34.772679998479092</v>
      </c>
      <c r="F180" s="327">
        <f>('Pivot Table for Data Exchange'!$G$483)*100</f>
        <v>1.188322101717509</v>
      </c>
      <c r="G180" s="335">
        <f>('Pivot Table for Data Exchange'!$G$486)*100</f>
        <v>1.3846983120145113</v>
      </c>
      <c r="H180" s="327">
        <f>('Pivot Table for Data Exchange'!$G$489)*100</f>
        <v>0</v>
      </c>
      <c r="I180" s="333" t="s">
        <v>838</v>
      </c>
      <c r="J180" s="327">
        <f>('Pivot Table for Data Exchange'!$G$492)*100</f>
        <v>22.969046369910004</v>
      </c>
      <c r="K180" s="327">
        <f>('Pivot Table for Data Exchange'!$G$495)*100</f>
        <v>0.45199564147060006</v>
      </c>
      <c r="L180" s="328">
        <f>SUM(M180:O180)</f>
        <v>73.188990677589899</v>
      </c>
      <c r="M180" s="327">
        <f>('Pivot Table for Data Exchange'!$G$498)*100</f>
        <v>67.801364058275155</v>
      </c>
      <c r="N180" s="327">
        <f>('Pivot Table for Data Exchange'!$G$501)*100</f>
        <v>0.31478267888131078</v>
      </c>
      <c r="O180" s="335">
        <f>('Pivot Table for Data Exchange'!$G$504)*100</f>
        <v>5.0728439404334313</v>
      </c>
      <c r="P180" s="327">
        <f>('Pivot Table for Data Exchange'!$G$507)*100</f>
        <v>0</v>
      </c>
      <c r="Q180" s="332">
        <f t="shared" si="34"/>
        <v>100</v>
      </c>
      <c r="R180" s="332">
        <f t="shared" si="35"/>
        <v>96.610032688970506</v>
      </c>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AN180" s="333"/>
      <c r="AO180" s="333"/>
    </row>
    <row r="181" spans="1:41" ht="15.75" customHeight="1">
      <c r="A181" s="298" t="s">
        <v>839</v>
      </c>
      <c r="B181" s="327">
        <f>('Pivot Table for Data Exchange'!$G$510)*100</f>
        <v>99.468225427988273</v>
      </c>
      <c r="C181" s="327">
        <f>('Pivot Table for Data Exchange'!$G$513)*100</f>
        <v>0.53177457201171852</v>
      </c>
      <c r="D181" s="328">
        <f t="shared" ref="D181" si="46">SUM(E181:G181)</f>
        <v>0</v>
      </c>
      <c r="E181" s="327">
        <f>('Pivot Table for Data Exchange'!$G$516)*100</f>
        <v>0</v>
      </c>
      <c r="F181" s="339">
        <f>('Pivot Table for Data Exchange'!$G$519)*100</f>
        <v>0</v>
      </c>
      <c r="G181" s="335">
        <f>('Pivot Table for Data Exchange'!$G$522)*100</f>
        <v>0</v>
      </c>
      <c r="H181" s="327">
        <f>('Pivot Table for Data Exchange'!$G$525)*100</f>
        <v>0</v>
      </c>
      <c r="I181" s="333" t="s">
        <v>839</v>
      </c>
      <c r="J181" s="327">
        <f>('Pivot Table for Data Exchange'!$G$528)*100</f>
        <v>98.329425556858155</v>
      </c>
      <c r="K181" s="327">
        <f>('Pivot Table for Data Exchange'!$G$531)*100</f>
        <v>1.6705744431418523</v>
      </c>
      <c r="L181" s="328">
        <f t="shared" ref="L181" si="47">SUM(M181:O181)</f>
        <v>0</v>
      </c>
      <c r="M181" s="327">
        <f>('Pivot Table for Data Exchange'!$G$534)*100</f>
        <v>0</v>
      </c>
      <c r="N181" s="327">
        <f>('Pivot Table for Data Exchange'!$G$537)*100</f>
        <v>0</v>
      </c>
      <c r="O181" s="335">
        <f>('Pivot Table for Data Exchange'!$G$540)*100</f>
        <v>0</v>
      </c>
      <c r="P181" s="327">
        <f>('Pivot Table for Data Exchange'!$G$543)*100</f>
        <v>0</v>
      </c>
      <c r="Q181" s="332">
        <f t="shared" si="34"/>
        <v>99.999999999999986</v>
      </c>
      <c r="R181" s="332">
        <f t="shared" si="35"/>
        <v>100</v>
      </c>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AN181" s="333"/>
      <c r="AO181" s="333"/>
    </row>
    <row r="182" spans="1:41" ht="15.75" customHeight="1">
      <c r="A182" s="304" t="s">
        <v>840</v>
      </c>
      <c r="B182" s="340">
        <f>('Pivot Table for Data Exchange'!$G$546)*100</f>
        <v>82.49889961174361</v>
      </c>
      <c r="C182" s="340">
        <f>('Pivot Table for Data Exchange'!$G$549)*100</f>
        <v>4.2813315026376468</v>
      </c>
      <c r="D182" s="341">
        <f>SUM(E182:G182)</f>
        <v>13.219768885618745</v>
      </c>
      <c r="E182" s="340">
        <f>('Pivot Table for Data Exchange'!$G$552)*100</f>
        <v>13.18232283749072</v>
      </c>
      <c r="F182" s="340">
        <f>('Pivot Table for Data Exchange'!$G$555)*100</f>
        <v>3.7446048128026065E-2</v>
      </c>
      <c r="G182" s="342">
        <f>('Pivot Table for Data Exchange'!$G$558)*100</f>
        <v>0</v>
      </c>
      <c r="H182" s="340">
        <f>('Pivot Table for Data Exchange'!$G$561)*100</f>
        <v>0</v>
      </c>
      <c r="I182" s="343" t="s">
        <v>840</v>
      </c>
      <c r="J182" s="340">
        <f>('Pivot Table for Data Exchange'!$G$564)*100</f>
        <v>43.355209187858904</v>
      </c>
      <c r="K182" s="340">
        <f>('Pivot Table for Data Exchange'!$G$567)*100</f>
        <v>7.9801294321392771</v>
      </c>
      <c r="L182" s="341">
        <f>SUM(M182:O182)</f>
        <v>48.664661380001824</v>
      </c>
      <c r="M182" s="340">
        <f>('Pivot Table for Data Exchange'!$G$570)*100</f>
        <v>48.664661380001824</v>
      </c>
      <c r="N182" s="340">
        <f>('Pivot Table for Data Exchange'!$G$573)*100</f>
        <v>0</v>
      </c>
      <c r="O182" s="342">
        <f>('Pivot Table for Data Exchange'!$G$576)*100</f>
        <v>0</v>
      </c>
      <c r="P182" s="340">
        <f>('Pivot Table for Data Exchange'!$G$579)*100</f>
        <v>0</v>
      </c>
      <c r="Q182" s="332">
        <f t="shared" si="34"/>
        <v>100</v>
      </c>
      <c r="R182" s="332">
        <f t="shared" si="35"/>
        <v>100</v>
      </c>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row>
    <row r="183" spans="1:41" s="345" customFormat="1" ht="12.75" customHeight="1">
      <c r="A183" s="346" t="s">
        <v>866</v>
      </c>
      <c r="B183" s="347"/>
      <c r="C183" s="347"/>
      <c r="D183" s="348"/>
      <c r="E183" s="347"/>
      <c r="F183" s="348"/>
      <c r="G183" s="348"/>
      <c r="H183" s="347"/>
      <c r="I183" s="346" t="s">
        <v>866</v>
      </c>
      <c r="J183" s="347"/>
      <c r="K183" s="347"/>
      <c r="L183" s="348"/>
      <c r="M183" s="347"/>
      <c r="N183" s="348"/>
      <c r="O183" s="348"/>
      <c r="P183" s="347"/>
      <c r="Q183" s="332"/>
      <c r="R183" s="332"/>
      <c r="S183" s="349"/>
      <c r="T183" s="349"/>
      <c r="U183" s="349"/>
      <c r="V183" s="349"/>
      <c r="W183" s="349"/>
      <c r="X183" s="349"/>
      <c r="Y183" s="349"/>
      <c r="Z183" s="349"/>
      <c r="AA183" s="349"/>
      <c r="AB183" s="349"/>
      <c r="AC183" s="349"/>
      <c r="AD183" s="349"/>
      <c r="AE183" s="349"/>
      <c r="AF183" s="349"/>
      <c r="AG183" s="349"/>
      <c r="AH183" s="349"/>
      <c r="AI183" s="349"/>
      <c r="AJ183" s="349"/>
      <c r="AK183" s="349"/>
      <c r="AL183" s="349"/>
      <c r="AM183" s="349"/>
      <c r="AN183" s="349"/>
      <c r="AO183" s="349"/>
    </row>
    <row r="184" spans="1:41" s="345" customFormat="1" ht="8.25" customHeight="1">
      <c r="A184" s="350"/>
      <c r="B184" s="359"/>
      <c r="C184" s="359"/>
      <c r="D184" s="300"/>
      <c r="E184" s="359"/>
      <c r="F184" s="359"/>
      <c r="G184" s="359"/>
      <c r="H184" s="359"/>
      <c r="I184" s="350"/>
      <c r="J184" s="359"/>
      <c r="K184" s="359"/>
      <c r="L184" s="300"/>
      <c r="M184" s="359"/>
      <c r="N184" s="359"/>
      <c r="O184" s="359"/>
      <c r="P184" s="359"/>
      <c r="Q184" s="332"/>
      <c r="R184" s="332"/>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row>
    <row r="185" spans="1:41" s="345" customFormat="1" ht="13.5" customHeight="1">
      <c r="A185" s="356"/>
      <c r="B185" s="357"/>
      <c r="H185" s="351" t="s">
        <v>980</v>
      </c>
      <c r="I185" s="356"/>
      <c r="P185" s="351" t="s">
        <v>980</v>
      </c>
      <c r="Q185" s="332"/>
      <c r="R185" s="332"/>
    </row>
    <row r="186" spans="1:41" ht="18">
      <c r="A186" s="293" t="s">
        <v>877</v>
      </c>
      <c r="B186" s="294"/>
      <c r="C186" s="294"/>
      <c r="D186" s="294"/>
      <c r="E186" s="294"/>
      <c r="F186" s="294"/>
      <c r="G186" s="294"/>
      <c r="H186" s="294"/>
      <c r="I186" s="293" t="s">
        <v>878</v>
      </c>
      <c r="J186" s="295"/>
      <c r="K186" s="295"/>
      <c r="L186" s="294"/>
      <c r="M186" s="295"/>
      <c r="N186" s="295"/>
      <c r="O186" s="295"/>
      <c r="P186" s="295"/>
      <c r="Q186" s="332"/>
      <c r="R186" s="332"/>
    </row>
    <row r="187" spans="1:41">
      <c r="A187" s="299"/>
      <c r="B187" s="295"/>
      <c r="C187" s="295"/>
      <c r="D187" s="295"/>
      <c r="E187" s="295"/>
      <c r="F187" s="295"/>
      <c r="G187" s="295"/>
      <c r="H187" s="295"/>
      <c r="I187" s="299"/>
      <c r="J187" s="295"/>
      <c r="K187" s="295"/>
      <c r="L187" s="295"/>
      <c r="M187" s="295"/>
      <c r="N187" s="295"/>
      <c r="O187" s="295"/>
      <c r="P187" s="295"/>
      <c r="Q187" s="332"/>
      <c r="R187" s="332"/>
    </row>
    <row r="188" spans="1:41" ht="15.75">
      <c r="A188" s="301" t="s">
        <v>846</v>
      </c>
      <c r="B188" s="295"/>
      <c r="C188" s="295"/>
      <c r="D188" s="295"/>
      <c r="E188" s="295"/>
      <c r="F188" s="295"/>
      <c r="G188" s="295"/>
      <c r="H188" s="295"/>
      <c r="I188" s="301" t="s">
        <v>847</v>
      </c>
      <c r="J188" s="295"/>
      <c r="K188" s="295"/>
      <c r="L188" s="295"/>
      <c r="M188" s="295"/>
      <c r="N188" s="295"/>
      <c r="O188" s="295"/>
      <c r="P188" s="295"/>
      <c r="Q188" s="332"/>
      <c r="R188" s="332"/>
    </row>
    <row r="189" spans="1:41" ht="15.75">
      <c r="A189" s="301" t="s">
        <v>897</v>
      </c>
      <c r="B189" s="295"/>
      <c r="C189" s="295"/>
      <c r="D189" s="295"/>
      <c r="E189" s="295"/>
      <c r="F189" s="295"/>
      <c r="G189" s="295"/>
      <c r="H189" s="295"/>
      <c r="I189" s="301" t="s">
        <v>897</v>
      </c>
      <c r="J189" s="295"/>
      <c r="K189" s="295"/>
      <c r="L189" s="295"/>
      <c r="M189" s="295"/>
      <c r="N189" s="295"/>
      <c r="O189" s="295"/>
      <c r="P189" s="295"/>
      <c r="Q189" s="332"/>
      <c r="R189" s="332"/>
    </row>
    <row r="190" spans="1:41">
      <c r="A190" s="304"/>
      <c r="B190" s="305"/>
      <c r="C190" s="305"/>
      <c r="D190" s="305"/>
      <c r="E190" s="305"/>
      <c r="F190" s="305"/>
      <c r="G190" s="305"/>
      <c r="H190" s="305"/>
      <c r="I190" s="306"/>
      <c r="L190" s="307"/>
      <c r="P190" s="304"/>
      <c r="Q190" s="332"/>
      <c r="R190" s="332"/>
    </row>
    <row r="191" spans="1:41" s="314" customFormat="1">
      <c r="A191" s="309"/>
      <c r="B191" s="310" t="s">
        <v>848</v>
      </c>
      <c r="C191" s="310"/>
      <c r="D191" s="310"/>
      <c r="E191" s="310"/>
      <c r="F191" s="310"/>
      <c r="G191" s="310"/>
      <c r="H191" s="311"/>
      <c r="I191" s="309"/>
      <c r="J191" s="310" t="s">
        <v>848</v>
      </c>
      <c r="K191" s="310"/>
      <c r="L191" s="310"/>
      <c r="M191" s="310"/>
      <c r="N191" s="310"/>
      <c r="O191" s="310"/>
      <c r="P191" s="311"/>
      <c r="Q191" s="332"/>
      <c r="R191" s="332"/>
    </row>
    <row r="192" spans="1:41" s="314" customFormat="1">
      <c r="A192" s="309"/>
      <c r="B192" s="310" t="s">
        <v>849</v>
      </c>
      <c r="C192" s="310"/>
      <c r="D192" s="450" t="s">
        <v>850</v>
      </c>
      <c r="E192" s="448"/>
      <c r="F192" s="448"/>
      <c r="G192" s="448"/>
      <c r="H192" s="317" t="s">
        <v>740</v>
      </c>
      <c r="I192" s="309"/>
      <c r="J192" s="310" t="s">
        <v>849</v>
      </c>
      <c r="K192" s="310"/>
      <c r="L192" s="450" t="s">
        <v>850</v>
      </c>
      <c r="M192" s="448"/>
      <c r="N192" s="448"/>
      <c r="O192" s="448"/>
      <c r="P192" s="317" t="s">
        <v>740</v>
      </c>
      <c r="Q192" s="332"/>
      <c r="R192" s="332"/>
    </row>
    <row r="193" spans="1:41" s="314" customFormat="1" ht="40.5" customHeight="1">
      <c r="A193" s="309"/>
      <c r="B193" s="318" t="s">
        <v>851</v>
      </c>
      <c r="C193" s="319" t="s">
        <v>852</v>
      </c>
      <c r="D193" s="320" t="s">
        <v>853</v>
      </c>
      <c r="E193" s="321" t="s">
        <v>8</v>
      </c>
      <c r="F193" s="318" t="s">
        <v>854</v>
      </c>
      <c r="G193" s="322" t="s">
        <v>864</v>
      </c>
      <c r="H193" s="323" t="s">
        <v>856</v>
      </c>
      <c r="I193" s="309"/>
      <c r="J193" s="318" t="s">
        <v>851</v>
      </c>
      <c r="K193" s="319" t="s">
        <v>852</v>
      </c>
      <c r="L193" s="320" t="s">
        <v>853</v>
      </c>
      <c r="M193" s="321" t="s">
        <v>8</v>
      </c>
      <c r="N193" s="318" t="s">
        <v>854</v>
      </c>
      <c r="O193" s="322" t="s">
        <v>864</v>
      </c>
      <c r="P193" s="323" t="s">
        <v>856</v>
      </c>
      <c r="Q193" s="332"/>
      <c r="R193" s="332"/>
      <c r="T193" s="352"/>
    </row>
    <row r="194" spans="1:41" ht="15.75" customHeight="1">
      <c r="A194" s="353" t="s">
        <v>825</v>
      </c>
      <c r="B194" s="327">
        <f>('Pivot Table for Data Exchange'!$H$6)*100</f>
        <v>19.334477355815864</v>
      </c>
      <c r="C194" s="327">
        <f>('Pivot Table for Data Exchange'!$H$9)*100</f>
        <v>3.5544281131090054</v>
      </c>
      <c r="D194" s="328">
        <f>SUM(E194:G194)</f>
        <v>77.111094531075125</v>
      </c>
      <c r="E194" s="327">
        <f>('Pivot Table for Data Exchange'!$H$12)*100</f>
        <v>77.111094531075125</v>
      </c>
      <c r="F194" s="327">
        <f>('Pivot Table for Data Exchange'!$H$15)*100</f>
        <v>0</v>
      </c>
      <c r="G194" s="331">
        <f>('Pivot Table for Data Exchange'!$H$18)*100</f>
        <v>0</v>
      </c>
      <c r="H194" s="327">
        <f>('Pivot Table for Data Exchange'!$H$21)*100</f>
        <v>0</v>
      </c>
      <c r="I194" s="330" t="s">
        <v>825</v>
      </c>
      <c r="J194" s="327">
        <f>('Pivot Table for Data Exchange'!$H$24)*100</f>
        <v>1.4563106796116505</v>
      </c>
      <c r="K194" s="327">
        <f>('Pivot Table for Data Exchange'!$H$27)*100</f>
        <v>0</v>
      </c>
      <c r="L194" s="328">
        <f>SUM(M194:O194)</f>
        <v>98.543689320388353</v>
      </c>
      <c r="M194" s="327">
        <f>('Pivot Table for Data Exchange'!$H$30)*100</f>
        <v>98.543689320388353</v>
      </c>
      <c r="N194" s="327">
        <f>('Pivot Table for Data Exchange'!$H$33)*100</f>
        <v>0</v>
      </c>
      <c r="O194" s="331">
        <f>('Pivot Table for Data Exchange'!$H$36)*100</f>
        <v>0</v>
      </c>
      <c r="P194" s="327">
        <f>('Pivot Table for Data Exchange'!$H$39)*100</f>
        <v>0</v>
      </c>
      <c r="Q194" s="332">
        <f t="shared" si="34"/>
        <v>100</v>
      </c>
      <c r="R194" s="332">
        <f t="shared" si="35"/>
        <v>100</v>
      </c>
      <c r="S194" s="333"/>
      <c r="T194" s="333"/>
      <c r="U194" s="333"/>
      <c r="V194" s="333"/>
      <c r="W194" s="333"/>
      <c r="X194" s="333"/>
      <c r="Y194" s="333"/>
      <c r="Z194" s="333"/>
      <c r="AA194" s="333"/>
      <c r="AB194" s="333"/>
      <c r="AC194" s="333"/>
      <c r="AD194" s="333"/>
      <c r="AE194" s="333"/>
      <c r="AF194" s="333"/>
      <c r="AG194" s="333"/>
      <c r="AH194" s="333"/>
      <c r="AI194" s="333"/>
      <c r="AJ194" s="333"/>
      <c r="AK194" s="333"/>
      <c r="AL194" s="333"/>
      <c r="AM194" s="333"/>
      <c r="AN194" s="333"/>
      <c r="AO194" s="333"/>
    </row>
    <row r="195" spans="1:41" ht="15.75" customHeight="1">
      <c r="A195" s="298" t="s">
        <v>826</v>
      </c>
      <c r="B195" s="327">
        <f>('Pivot Table for Data Exchange'!$H$42)*100</f>
        <v>75.966535135951005</v>
      </c>
      <c r="C195" s="327">
        <f>('Pivot Table for Data Exchange'!$H$45)*100</f>
        <v>1.8854173404920544</v>
      </c>
      <c r="D195" s="328">
        <f t="shared" ref="D195:D197" si="48">SUM(E195:G195)</f>
        <v>22.148047523556937</v>
      </c>
      <c r="E195" s="327">
        <f>('Pivot Table for Data Exchange'!$H$48)*100</f>
        <v>22.148047523556937</v>
      </c>
      <c r="F195" s="327">
        <f>('Pivot Table for Data Exchange'!$H$51)*100</f>
        <v>0</v>
      </c>
      <c r="G195" s="335">
        <f>('Pivot Table for Data Exchange'!$H$54)*100</f>
        <v>0</v>
      </c>
      <c r="H195" s="327">
        <f>('Pivot Table for Data Exchange'!$H$57)*100</f>
        <v>0</v>
      </c>
      <c r="I195" s="333" t="s">
        <v>826</v>
      </c>
      <c r="J195" s="327">
        <f>('Pivot Table for Data Exchange'!$H$60)*100</f>
        <v>70.68757539203861</v>
      </c>
      <c r="K195" s="327">
        <f>('Pivot Table for Data Exchange'!$H$63)*100</f>
        <v>0</v>
      </c>
      <c r="L195" s="328">
        <f t="shared" ref="L195:L197" si="49">SUM(M195:O195)</f>
        <v>29.3124246079614</v>
      </c>
      <c r="M195" s="327">
        <f>('Pivot Table for Data Exchange'!$H$66)*100</f>
        <v>29.3124246079614</v>
      </c>
      <c r="N195" s="327">
        <f>('Pivot Table for Data Exchange'!$H$69)*100</f>
        <v>0</v>
      </c>
      <c r="O195" s="335">
        <f>('Pivot Table for Data Exchange'!$H$72)*100</f>
        <v>0</v>
      </c>
      <c r="P195" s="327">
        <f>('Pivot Table for Data Exchange'!$H$75)*100</f>
        <v>0</v>
      </c>
      <c r="Q195" s="332">
        <f t="shared" si="34"/>
        <v>100</v>
      </c>
      <c r="R195" s="332">
        <f t="shared" si="35"/>
        <v>100.00000000000001</v>
      </c>
      <c r="S195" s="333"/>
      <c r="T195" s="333"/>
      <c r="U195" s="333"/>
      <c r="V195" s="333"/>
      <c r="W195" s="333"/>
      <c r="X195" s="333"/>
      <c r="Y195" s="333"/>
      <c r="Z195" s="333"/>
      <c r="AA195" s="333"/>
      <c r="AB195" s="333"/>
      <c r="AC195" s="333"/>
      <c r="AD195" s="333"/>
      <c r="AE195" s="333"/>
      <c r="AF195" s="333"/>
      <c r="AG195" s="333"/>
      <c r="AH195" s="333"/>
      <c r="AI195" s="333"/>
      <c r="AJ195" s="333"/>
      <c r="AK195" s="333"/>
      <c r="AL195" s="333"/>
      <c r="AM195" s="333"/>
      <c r="AN195" s="333"/>
      <c r="AO195" s="333"/>
    </row>
    <row r="196" spans="1:41" ht="15.75" customHeight="1">
      <c r="A196" s="298" t="s">
        <v>827</v>
      </c>
      <c r="B196" s="327">
        <f>('Pivot Table for Data Exchange'!$H$78)*100</f>
        <v>0</v>
      </c>
      <c r="C196" s="327">
        <f>('Pivot Table for Data Exchange'!$H$81)*100</f>
        <v>0</v>
      </c>
      <c r="D196" s="328">
        <f t="shared" si="48"/>
        <v>0</v>
      </c>
      <c r="E196" s="327">
        <f>('Pivot Table for Data Exchange'!$H$84)*100</f>
        <v>0</v>
      </c>
      <c r="F196" s="327">
        <f>('Pivot Table for Data Exchange'!$H$87)*100</f>
        <v>0</v>
      </c>
      <c r="G196" s="335">
        <f>('Pivot Table for Data Exchange'!$H$90)*100</f>
        <v>0</v>
      </c>
      <c r="H196" s="327">
        <f>('Pivot Table for Data Exchange'!$H$93)*100</f>
        <v>0</v>
      </c>
      <c r="I196" s="333" t="s">
        <v>827</v>
      </c>
      <c r="J196" s="327">
        <f>('Pivot Table for Data Exchange'!$H$96)*100</f>
        <v>0</v>
      </c>
      <c r="K196" s="327">
        <f>('Pivot Table for Data Exchange'!$H$99)*100</f>
        <v>0</v>
      </c>
      <c r="L196" s="328">
        <f t="shared" si="49"/>
        <v>0</v>
      </c>
      <c r="M196" s="327">
        <f>('Pivot Table for Data Exchange'!$H$102)*100</f>
        <v>0</v>
      </c>
      <c r="N196" s="327">
        <f>('Pivot Table for Data Exchange'!$H$105)*100</f>
        <v>0</v>
      </c>
      <c r="O196" s="335">
        <f>('Pivot Table for Data Exchange'!$H$108)*100</f>
        <v>0</v>
      </c>
      <c r="P196" s="327">
        <f>('Pivot Table for Data Exchange'!$H$111)*100</f>
        <v>0</v>
      </c>
      <c r="Q196" s="332">
        <f t="shared" si="34"/>
        <v>0</v>
      </c>
      <c r="R196" s="332">
        <f t="shared" si="35"/>
        <v>0</v>
      </c>
      <c r="S196" s="333"/>
      <c r="T196" s="307"/>
      <c r="U196" s="333"/>
      <c r="V196" s="333"/>
      <c r="W196" s="333"/>
      <c r="X196" s="333"/>
      <c r="Y196" s="333"/>
      <c r="Z196" s="333"/>
      <c r="AA196" s="333"/>
      <c r="AB196" s="333"/>
      <c r="AC196" s="333"/>
      <c r="AD196" s="333"/>
      <c r="AE196" s="333"/>
      <c r="AF196" s="333"/>
      <c r="AG196" s="333"/>
      <c r="AH196" s="333"/>
      <c r="AI196" s="333"/>
      <c r="AJ196" s="333"/>
      <c r="AK196" s="333"/>
      <c r="AL196" s="333"/>
      <c r="AM196" s="333"/>
      <c r="AN196" s="333"/>
      <c r="AO196" s="333"/>
    </row>
    <row r="197" spans="1:41" ht="15.75" customHeight="1">
      <c r="A197" s="298" t="s">
        <v>865</v>
      </c>
      <c r="B197" s="327">
        <f>('Pivot Table for Data Exchange'!$H$114)*100</f>
        <v>0</v>
      </c>
      <c r="C197" s="327">
        <f>('Pivot Table for Data Exchange'!$H$117)*100</f>
        <v>0</v>
      </c>
      <c r="D197" s="328">
        <f t="shared" si="48"/>
        <v>0</v>
      </c>
      <c r="E197" s="327">
        <f>('Pivot Table for Data Exchange'!$H$120)*100</f>
        <v>0</v>
      </c>
      <c r="F197" s="327">
        <f>('Pivot Table for Data Exchange'!$H$123)*100</f>
        <v>0</v>
      </c>
      <c r="G197" s="335">
        <f>('Pivot Table for Data Exchange'!$H$126)*100</f>
        <v>0</v>
      </c>
      <c r="H197" s="327">
        <f>('Pivot Table for Data Exchange'!$H$129)*100</f>
        <v>0</v>
      </c>
      <c r="I197" s="333" t="s">
        <v>828</v>
      </c>
      <c r="J197" s="327">
        <f>('Pivot Table for Data Exchange'!$H$132)*100</f>
        <v>0</v>
      </c>
      <c r="K197" s="327">
        <f>('Pivot Table for Data Exchange'!$H$135)*100</f>
        <v>0</v>
      </c>
      <c r="L197" s="328">
        <f t="shared" si="49"/>
        <v>0</v>
      </c>
      <c r="M197" s="327">
        <f>('Pivot Table for Data Exchange'!$H$138)*100</f>
        <v>0</v>
      </c>
      <c r="N197" s="327">
        <f>('Pivot Table for Data Exchange'!$H$141)*100</f>
        <v>0</v>
      </c>
      <c r="O197" s="335">
        <f>('Pivot Table for Data Exchange'!$H$144)*100</f>
        <v>0</v>
      </c>
      <c r="P197" s="327">
        <f>('Pivot Table for Data Exchange'!$H$147)*100</f>
        <v>0</v>
      </c>
      <c r="Q197" s="332">
        <f t="shared" si="34"/>
        <v>0</v>
      </c>
      <c r="R197" s="332">
        <f t="shared" si="35"/>
        <v>0</v>
      </c>
      <c r="S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row>
    <row r="198" spans="1:41" ht="15.75" customHeight="1">
      <c r="B198" s="327"/>
      <c r="C198" s="327"/>
      <c r="D198" s="328"/>
      <c r="E198" s="327"/>
      <c r="F198" s="327"/>
      <c r="G198" s="335"/>
      <c r="H198" s="327"/>
      <c r="I198" s="333"/>
      <c r="J198" s="327"/>
      <c r="K198" s="327"/>
      <c r="L198" s="328"/>
      <c r="M198" s="327"/>
      <c r="N198" s="327"/>
      <c r="O198" s="335"/>
      <c r="P198" s="327"/>
      <c r="Q198" s="332">
        <f t="shared" si="34"/>
        <v>0</v>
      </c>
      <c r="R198" s="332">
        <f t="shared" si="35"/>
        <v>0</v>
      </c>
      <c r="S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row>
    <row r="199" spans="1:41" ht="15.75" customHeight="1">
      <c r="A199" s="298" t="s">
        <v>829</v>
      </c>
      <c r="B199" s="327">
        <f>('Pivot Table for Data Exchange'!$H$150)*100</f>
        <v>85.098144654599068</v>
      </c>
      <c r="C199" s="327">
        <f>('Pivot Table for Data Exchange'!$H$153)*100</f>
        <v>1.0710450001403438</v>
      </c>
      <c r="D199" s="328">
        <f t="shared" ref="D199:D202" si="50">SUM(E199:G199)</f>
        <v>13.83081034526059</v>
      </c>
      <c r="E199" s="327">
        <f>('Pivot Table for Data Exchange'!$H$156)*100</f>
        <v>13.466507314868025</v>
      </c>
      <c r="F199" s="327">
        <f>('Pivot Table for Data Exchange'!$H$159)*100</f>
        <v>0.36430303039256384</v>
      </c>
      <c r="G199" s="335">
        <f>('Pivot Table for Data Exchange'!$H$162)*100</f>
        <v>0</v>
      </c>
      <c r="H199" s="327">
        <f>('Pivot Table for Data Exchange'!$H$165)*100</f>
        <v>0</v>
      </c>
      <c r="I199" s="333" t="s">
        <v>829</v>
      </c>
      <c r="J199" s="327">
        <f>('Pivot Table for Data Exchange'!$H$168)*100</f>
        <v>5.772314270443613</v>
      </c>
      <c r="K199" s="327">
        <f>('Pivot Table for Data Exchange'!$H$171)*100</f>
        <v>0</v>
      </c>
      <c r="L199" s="328">
        <f t="shared" ref="L199:L202" si="51">SUM(M199:O199)</f>
        <v>94.227685729556384</v>
      </c>
      <c r="M199" s="327">
        <f>('Pivot Table for Data Exchange'!$H$174)*100</f>
        <v>94.227685729556384</v>
      </c>
      <c r="N199" s="327">
        <f>('Pivot Table for Data Exchange'!$H$177)*100</f>
        <v>0</v>
      </c>
      <c r="O199" s="335">
        <f>('Pivot Table for Data Exchange'!$H$180)*100</f>
        <v>0</v>
      </c>
      <c r="P199" s="327">
        <f>('Pivot Table for Data Exchange'!$H$183)*100</f>
        <v>0</v>
      </c>
      <c r="Q199" s="332">
        <f t="shared" si="34"/>
        <v>100</v>
      </c>
      <c r="R199" s="332">
        <f t="shared" si="35"/>
        <v>100</v>
      </c>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row>
    <row r="200" spans="1:41" ht="15.75" customHeight="1">
      <c r="A200" s="298" t="s">
        <v>830</v>
      </c>
      <c r="B200" s="327">
        <f>('Pivot Table for Data Exchange'!$H$186)*100</f>
        <v>0</v>
      </c>
      <c r="C200" s="327">
        <f>('Pivot Table for Data Exchange'!$H$189)*100</f>
        <v>0</v>
      </c>
      <c r="D200" s="328">
        <f t="shared" si="50"/>
        <v>0</v>
      </c>
      <c r="E200" s="327">
        <f>('Pivot Table for Data Exchange'!$H$192)*100</f>
        <v>0</v>
      </c>
      <c r="F200" s="327">
        <f>('Pivot Table for Data Exchange'!$H$195)*100</f>
        <v>0</v>
      </c>
      <c r="G200" s="335">
        <f>('Pivot Table for Data Exchange'!$H$198)*100</f>
        <v>0</v>
      </c>
      <c r="H200" s="327">
        <f>('Pivot Table for Data Exchange'!$H$201)*100</f>
        <v>0</v>
      </c>
      <c r="I200" s="333" t="s">
        <v>830</v>
      </c>
      <c r="J200" s="327">
        <f>('Pivot Table for Data Exchange'!$H$204)*100</f>
        <v>0</v>
      </c>
      <c r="K200" s="327">
        <f>('Pivot Table for Data Exchange'!$H$207)*100</f>
        <v>0</v>
      </c>
      <c r="L200" s="328">
        <f t="shared" si="51"/>
        <v>0</v>
      </c>
      <c r="M200" s="327">
        <f>('Pivot Table for Data Exchange'!$H$210)*100</f>
        <v>0</v>
      </c>
      <c r="N200" s="327">
        <f>('Pivot Table for Data Exchange'!$H$213)*100</f>
        <v>0</v>
      </c>
      <c r="O200" s="335">
        <f>('Pivot Table for Data Exchange'!$H$216)*100</f>
        <v>0</v>
      </c>
      <c r="P200" s="327">
        <f>('Pivot Table for Data Exchange'!$H$219)*100</f>
        <v>0</v>
      </c>
      <c r="Q200" s="332">
        <f t="shared" si="34"/>
        <v>0</v>
      </c>
      <c r="R200" s="332">
        <f t="shared" si="35"/>
        <v>0</v>
      </c>
      <c r="S200" s="333"/>
      <c r="T200" s="333"/>
      <c r="U200" s="333"/>
      <c r="V200" s="333"/>
      <c r="W200" s="333"/>
      <c r="X200" s="333"/>
      <c r="Y200" s="333"/>
      <c r="Z200" s="333"/>
      <c r="AA200" s="333"/>
      <c r="AB200" s="333"/>
      <c r="AC200" s="333"/>
      <c r="AD200" s="333"/>
      <c r="AE200" s="333"/>
      <c r="AF200" s="333"/>
      <c r="AG200" s="333"/>
      <c r="AH200" s="333"/>
      <c r="AI200" s="333"/>
      <c r="AJ200" s="333"/>
      <c r="AK200" s="333"/>
      <c r="AL200" s="333"/>
      <c r="AM200" s="333"/>
      <c r="AN200" s="333"/>
      <c r="AO200" s="333"/>
    </row>
    <row r="201" spans="1:41" ht="15.75" customHeight="1">
      <c r="A201" s="298" t="s">
        <v>831</v>
      </c>
      <c r="B201" s="327">
        <f>('Pivot Table for Data Exchange'!$H$222)*100</f>
        <v>64.48</v>
      </c>
      <c r="C201" s="327">
        <f>('Pivot Table for Data Exchange'!$H$225)*100</f>
        <v>0</v>
      </c>
      <c r="D201" s="328">
        <f t="shared" si="50"/>
        <v>35.520000000000003</v>
      </c>
      <c r="E201" s="327">
        <f>('Pivot Table for Data Exchange'!$H$228)*100</f>
        <v>35.520000000000003</v>
      </c>
      <c r="F201" s="327">
        <f>('Pivot Table for Data Exchange'!$H$231)*100</f>
        <v>0</v>
      </c>
      <c r="G201" s="335">
        <f>('Pivot Table for Data Exchange'!$H$234)*100</f>
        <v>0</v>
      </c>
      <c r="H201" s="327">
        <f>('Pivot Table for Data Exchange'!$H$237)*100</f>
        <v>0</v>
      </c>
      <c r="I201" s="333" t="s">
        <v>831</v>
      </c>
      <c r="J201" s="327">
        <f>('Pivot Table for Data Exchange'!$H$240)*100</f>
        <v>0</v>
      </c>
      <c r="K201" s="327">
        <f>('Pivot Table for Data Exchange'!$H$243)*100</f>
        <v>0</v>
      </c>
      <c r="L201" s="328">
        <f t="shared" si="51"/>
        <v>0</v>
      </c>
      <c r="M201" s="327">
        <f>('Pivot Table for Data Exchange'!$H$246)*100</f>
        <v>0</v>
      </c>
      <c r="N201" s="327">
        <f>('Pivot Table for Data Exchange'!$H$249)*100</f>
        <v>0</v>
      </c>
      <c r="O201" s="335">
        <f>('Pivot Table for Data Exchange'!$H$252)*100</f>
        <v>0</v>
      </c>
      <c r="P201" s="327">
        <f>('Pivot Table for Data Exchange'!$H$255)*100</f>
        <v>0</v>
      </c>
      <c r="Q201" s="332">
        <f t="shared" si="34"/>
        <v>100</v>
      </c>
      <c r="R201" s="332">
        <f t="shared" si="35"/>
        <v>0</v>
      </c>
      <c r="S201" s="333"/>
      <c r="T201" s="307"/>
      <c r="U201" s="333"/>
      <c r="V201" s="333"/>
      <c r="W201" s="333"/>
      <c r="X201" s="333"/>
      <c r="Y201" s="333"/>
      <c r="Z201" s="333"/>
      <c r="AA201" s="333"/>
      <c r="AB201" s="333"/>
      <c r="AC201" s="333"/>
      <c r="AD201" s="333"/>
      <c r="AE201" s="333"/>
      <c r="AF201" s="333"/>
      <c r="AG201" s="333"/>
      <c r="AH201" s="333"/>
      <c r="AI201" s="333"/>
      <c r="AJ201" s="333"/>
      <c r="AK201" s="333"/>
      <c r="AL201" s="333"/>
      <c r="AM201" s="333"/>
      <c r="AN201" s="333"/>
      <c r="AO201" s="333"/>
    </row>
    <row r="202" spans="1:41" ht="15.75" customHeight="1">
      <c r="A202" s="298" t="s">
        <v>832</v>
      </c>
      <c r="B202" s="327">
        <f>('Pivot Table for Data Exchange'!$H$258)*100</f>
        <v>100</v>
      </c>
      <c r="C202" s="327">
        <f>('Pivot Table for Data Exchange'!$H$261)*100</f>
        <v>0</v>
      </c>
      <c r="D202" s="328">
        <f t="shared" si="50"/>
        <v>0</v>
      </c>
      <c r="E202" s="327">
        <f>('Pivot Table for Data Exchange'!$H$264)*100</f>
        <v>0</v>
      </c>
      <c r="F202" s="327">
        <f>('Pivot Table for Data Exchange'!$H$267)*100</f>
        <v>0</v>
      </c>
      <c r="G202" s="335">
        <f>('Pivot Table for Data Exchange'!$H$270)*100</f>
        <v>0</v>
      </c>
      <c r="H202" s="327">
        <f>('Pivot Table for Data Exchange'!$H$273)*100</f>
        <v>0</v>
      </c>
      <c r="I202" s="333" t="s">
        <v>832</v>
      </c>
      <c r="J202" s="327">
        <f>('Pivot Table for Data Exchange'!$H$276)*100</f>
        <v>100</v>
      </c>
      <c r="K202" s="327">
        <f>('Pivot Table for Data Exchange'!$H$279)*100</f>
        <v>0</v>
      </c>
      <c r="L202" s="328">
        <f t="shared" si="51"/>
        <v>0</v>
      </c>
      <c r="M202" s="327">
        <f>('Pivot Table for Data Exchange'!$H$282)*100</f>
        <v>0</v>
      </c>
      <c r="N202" s="327">
        <f>('Pivot Table for Data Exchange'!$H$285)*100</f>
        <v>0</v>
      </c>
      <c r="O202" s="335">
        <f>('Pivot Table for Data Exchange'!$H$288)*100</f>
        <v>0</v>
      </c>
      <c r="P202" s="327">
        <f>('Pivot Table for Data Exchange'!$H$291)*100</f>
        <v>0</v>
      </c>
      <c r="Q202" s="332">
        <f t="shared" si="34"/>
        <v>100</v>
      </c>
      <c r="R202" s="332">
        <f t="shared" si="35"/>
        <v>100</v>
      </c>
      <c r="S202" s="333"/>
      <c r="U202" s="333"/>
      <c r="V202" s="333"/>
      <c r="W202" s="333"/>
      <c r="X202" s="333"/>
      <c r="Y202" s="333"/>
      <c r="Z202" s="333"/>
      <c r="AA202" s="333"/>
      <c r="AB202" s="333"/>
      <c r="AC202" s="333"/>
      <c r="AD202" s="333"/>
      <c r="AE202" s="333"/>
      <c r="AF202" s="333"/>
      <c r="AG202" s="333"/>
      <c r="AH202" s="333"/>
      <c r="AI202" s="333"/>
      <c r="AJ202" s="333"/>
      <c r="AK202" s="333"/>
      <c r="AL202" s="333"/>
      <c r="AM202" s="333"/>
      <c r="AN202" s="333"/>
      <c r="AO202" s="333"/>
    </row>
    <row r="203" spans="1:41" ht="11.25" customHeight="1">
      <c r="B203" s="327"/>
      <c r="C203" s="327"/>
      <c r="D203" s="328"/>
      <c r="E203" s="327"/>
      <c r="F203" s="327"/>
      <c r="G203" s="335"/>
      <c r="H203" s="327"/>
      <c r="I203" s="333"/>
      <c r="J203" s="327"/>
      <c r="K203" s="327"/>
      <c r="L203" s="328"/>
      <c r="M203" s="327"/>
      <c r="N203" s="327"/>
      <c r="O203" s="335"/>
      <c r="P203" s="327"/>
      <c r="Q203" s="332">
        <f t="shared" ref="Q203:Q266" si="52">SUM(B203,C203,D203,H203)</f>
        <v>0</v>
      </c>
      <c r="R203" s="332">
        <f t="shared" ref="R203:R216" si="53">SUM(J203,K203,L203,P203)</f>
        <v>0</v>
      </c>
      <c r="S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row>
    <row r="204" spans="1:41" ht="15.75" customHeight="1">
      <c r="A204" s="298" t="s">
        <v>833</v>
      </c>
      <c r="B204" s="327">
        <f>('Pivot Table for Data Exchange'!$H$294)*100</f>
        <v>0</v>
      </c>
      <c r="C204" s="327">
        <f>('Pivot Table for Data Exchange'!$H$297)*100</f>
        <v>0</v>
      </c>
      <c r="D204" s="328">
        <f t="shared" ref="D204:D206" si="54">SUM(E204:G204)</f>
        <v>0</v>
      </c>
      <c r="E204" s="327">
        <f>('Pivot Table for Data Exchange'!$H$300)*100</f>
        <v>0</v>
      </c>
      <c r="F204" s="327">
        <f>('Pivot Table for Data Exchange'!$H$303)*100</f>
        <v>0</v>
      </c>
      <c r="G204" s="335">
        <f>('Pivot Table for Data Exchange'!$H$306)*100</f>
        <v>0</v>
      </c>
      <c r="H204" s="327">
        <f>('Pivot Table for Data Exchange'!$H$309)*100</f>
        <v>0</v>
      </c>
      <c r="I204" s="333" t="s">
        <v>833</v>
      </c>
      <c r="J204" s="327">
        <f>('Pivot Table for Data Exchange'!$H$312)*100</f>
        <v>0</v>
      </c>
      <c r="K204" s="327">
        <f>('Pivot Table for Data Exchange'!$H$315)*100</f>
        <v>0</v>
      </c>
      <c r="L204" s="328">
        <f t="shared" ref="L204:L206" si="55">SUM(M204:O204)</f>
        <v>0</v>
      </c>
      <c r="M204" s="327">
        <f>('Pivot Table for Data Exchange'!$H$318)*100</f>
        <v>0</v>
      </c>
      <c r="N204" s="327">
        <f>('Pivot Table for Data Exchange'!$H$321)*100</f>
        <v>0</v>
      </c>
      <c r="O204" s="335">
        <f>('Pivot Table for Data Exchange'!$H$324)*100</f>
        <v>0</v>
      </c>
      <c r="P204" s="327">
        <f>('Pivot Table for Data Exchange'!$H$327)*100</f>
        <v>0</v>
      </c>
      <c r="Q204" s="332">
        <f t="shared" si="52"/>
        <v>0</v>
      </c>
      <c r="R204" s="332">
        <f t="shared" si="53"/>
        <v>0</v>
      </c>
      <c r="S204" s="333"/>
      <c r="T204" s="333"/>
      <c r="U204" s="333"/>
      <c r="V204" s="333"/>
      <c r="W204" s="333"/>
      <c r="X204" s="333"/>
      <c r="Y204" s="333"/>
      <c r="Z204" s="333"/>
      <c r="AA204" s="333"/>
      <c r="AB204" s="333"/>
      <c r="AC204" s="333"/>
      <c r="AD204" s="333"/>
      <c r="AE204" s="333"/>
      <c r="AF204" s="333"/>
      <c r="AG204" s="333"/>
      <c r="AH204" s="333"/>
      <c r="AI204" s="333"/>
      <c r="AJ204" s="333"/>
      <c r="AK204" s="333"/>
      <c r="AL204" s="333"/>
      <c r="AM204" s="333"/>
      <c r="AN204" s="333"/>
      <c r="AO204" s="333"/>
    </row>
    <row r="205" spans="1:41" ht="15.75" customHeight="1">
      <c r="A205" s="298" t="s">
        <v>834</v>
      </c>
      <c r="B205" s="327">
        <f>('Pivot Table for Data Exchange'!$H$330)*100</f>
        <v>92.998764823898156</v>
      </c>
      <c r="C205" s="327">
        <f>('Pivot Table for Data Exchange'!$H$333)*100</f>
        <v>0.67399204632267373</v>
      </c>
      <c r="D205" s="328">
        <f t="shared" si="54"/>
        <v>6.3272431297791671</v>
      </c>
      <c r="E205" s="327">
        <f>('Pivot Table for Data Exchange'!$H$336)*100</f>
        <v>4.4130771592377602</v>
      </c>
      <c r="F205" s="327">
        <f>('Pivot Table for Data Exchange'!$H$339)*100</f>
        <v>1.9141659705414069</v>
      </c>
      <c r="G205" s="335">
        <f>('Pivot Table for Data Exchange'!$H$342)*100</f>
        <v>0</v>
      </c>
      <c r="H205" s="327">
        <f>('Pivot Table for Data Exchange'!$H$345)*100</f>
        <v>0</v>
      </c>
      <c r="I205" s="333" t="s">
        <v>834</v>
      </c>
      <c r="J205" s="327">
        <f>('Pivot Table for Data Exchange'!$H$348)*100</f>
        <v>88.246816846229194</v>
      </c>
      <c r="K205" s="327">
        <f>('Pivot Table for Data Exchange'!$H$351)*100</f>
        <v>0</v>
      </c>
      <c r="L205" s="328">
        <f t="shared" si="55"/>
        <v>11.753183153770813</v>
      </c>
      <c r="M205" s="327">
        <f>('Pivot Table for Data Exchange'!$H$354)*100</f>
        <v>11.753183153770813</v>
      </c>
      <c r="N205" s="327">
        <f>('Pivot Table for Data Exchange'!$H$357)*100</f>
        <v>0</v>
      </c>
      <c r="O205" s="335">
        <f>('Pivot Table for Data Exchange'!$H$360)*100</f>
        <v>0</v>
      </c>
      <c r="P205" s="327">
        <f>('Pivot Table for Data Exchange'!$H$363)*100</f>
        <v>0</v>
      </c>
      <c r="Q205" s="332">
        <f t="shared" si="52"/>
        <v>99.999999999999986</v>
      </c>
      <c r="R205" s="332">
        <f t="shared" si="53"/>
        <v>100</v>
      </c>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row>
    <row r="206" spans="1:41" ht="15.75" customHeight="1">
      <c r="A206" s="298" t="s">
        <v>835</v>
      </c>
      <c r="B206" s="327">
        <f>('Pivot Table for Data Exchange'!$H$366)*100</f>
        <v>76.996793601614016</v>
      </c>
      <c r="C206" s="327">
        <f>('Pivot Table for Data Exchange'!$H$369)*100</f>
        <v>2.8101019562632851E-2</v>
      </c>
      <c r="D206" s="328">
        <f t="shared" si="54"/>
        <v>22.934755196887274</v>
      </c>
      <c r="E206" s="327">
        <f>('Pivot Table for Data Exchange'!$H$372)*100</f>
        <v>21.687502251684261</v>
      </c>
      <c r="F206" s="327">
        <f>('Pivot Table for Data Exchange'!$H$375)*100</f>
        <v>1.2429297114241451</v>
      </c>
      <c r="G206" s="335">
        <f>('Pivot Table for Data Exchange'!$H$378)*100</f>
        <v>4.323233778866592E-3</v>
      </c>
      <c r="H206" s="327">
        <f>('Pivot Table for Data Exchange'!$H$381)*100</f>
        <v>4.0350181936088192E-2</v>
      </c>
      <c r="I206" s="333" t="s">
        <v>835</v>
      </c>
      <c r="J206" s="327">
        <f>('Pivot Table for Data Exchange'!$H$384)*100</f>
        <v>91.071428571428569</v>
      </c>
      <c r="K206" s="327">
        <f>('Pivot Table for Data Exchange'!$H$387)*100</f>
        <v>0</v>
      </c>
      <c r="L206" s="328">
        <f t="shared" si="55"/>
        <v>8.9285714285714288</v>
      </c>
      <c r="M206" s="327">
        <f>('Pivot Table for Data Exchange'!$H$390)*100</f>
        <v>8.9285714285714288</v>
      </c>
      <c r="N206" s="327">
        <f>('Pivot Table for Data Exchange'!$H$393)*100</f>
        <v>0</v>
      </c>
      <c r="O206" s="335">
        <f>('Pivot Table for Data Exchange'!$H$396)*100</f>
        <v>0</v>
      </c>
      <c r="P206" s="327">
        <f>('Pivot Table for Data Exchange'!$H$399)*100</f>
        <v>0</v>
      </c>
      <c r="Q206" s="332">
        <f t="shared" si="52"/>
        <v>100.00000000000001</v>
      </c>
      <c r="R206" s="332">
        <f t="shared" si="53"/>
        <v>100</v>
      </c>
      <c r="S206" s="333"/>
      <c r="T206" s="307"/>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1:41" ht="15.75" customHeight="1">
      <c r="A207" s="298" t="s">
        <v>836</v>
      </c>
      <c r="B207" s="327">
        <f>('Pivot Table for Data Exchange'!$H$402)*100</f>
        <v>78.4114575752684</v>
      </c>
      <c r="C207" s="327">
        <f>('Pivot Table for Data Exchange'!$H$405)*100</f>
        <v>6.9561581556098346</v>
      </c>
      <c r="D207" s="328">
        <f>SUM(E207:G207)</f>
        <v>14.63238426912176</v>
      </c>
      <c r="E207" s="327">
        <f>('Pivot Table for Data Exchange'!$H$408)*100</f>
        <v>14.63238426912176</v>
      </c>
      <c r="F207" s="327">
        <f>('Pivot Table for Data Exchange'!$H$411)*100</f>
        <v>0</v>
      </c>
      <c r="G207" s="335">
        <f>('Pivot Table for Data Exchange'!$H$414)*100</f>
        <v>0</v>
      </c>
      <c r="H207" s="327">
        <f>('Pivot Table for Data Exchange'!$H$417)*100</f>
        <v>0</v>
      </c>
      <c r="I207" s="333" t="s">
        <v>836</v>
      </c>
      <c r="J207" s="327">
        <f>('Pivot Table for Data Exchange'!$H$420)*100</f>
        <v>24.473481936971559</v>
      </c>
      <c r="K207" s="327">
        <f>('Pivot Table for Data Exchange'!$H$423)*100</f>
        <v>10.407378939277478</v>
      </c>
      <c r="L207" s="328">
        <f>SUM(M207:O207)</f>
        <v>65.119139123750955</v>
      </c>
      <c r="M207" s="327">
        <f>('Pivot Table for Data Exchange'!$H$426)*100</f>
        <v>65.119139123750955</v>
      </c>
      <c r="N207" s="327">
        <f>('Pivot Table for Data Exchange'!$H$429)*100</f>
        <v>0</v>
      </c>
      <c r="O207" s="335">
        <f>('Pivot Table for Data Exchange'!$H$432)*100</f>
        <v>0</v>
      </c>
      <c r="P207" s="327">
        <f>('Pivot Table for Data Exchange'!$H$435)*100</f>
        <v>0</v>
      </c>
      <c r="Q207" s="332">
        <f t="shared" si="52"/>
        <v>100</v>
      </c>
      <c r="R207" s="332">
        <f t="shared" si="53"/>
        <v>100</v>
      </c>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row>
    <row r="208" spans="1:41" ht="11.25" customHeight="1">
      <c r="B208" s="327"/>
      <c r="C208" s="327"/>
      <c r="D208" s="328"/>
      <c r="E208" s="327"/>
      <c r="F208" s="327"/>
      <c r="G208" s="335"/>
      <c r="H208" s="327"/>
      <c r="I208" s="333"/>
      <c r="J208" s="327"/>
      <c r="K208" s="327"/>
      <c r="L208" s="328"/>
      <c r="M208" s="327"/>
      <c r="N208" s="327"/>
      <c r="O208" s="335"/>
      <c r="P208" s="327"/>
      <c r="Q208" s="332">
        <f t="shared" si="52"/>
        <v>0</v>
      </c>
      <c r="R208" s="332">
        <f t="shared" si="53"/>
        <v>0</v>
      </c>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row>
    <row r="209" spans="1:41" ht="15.75" customHeight="1">
      <c r="A209" s="298" t="s">
        <v>837</v>
      </c>
      <c r="B209" s="327">
        <f>('Pivot Table for Data Exchange'!$H$438)*100</f>
        <v>0</v>
      </c>
      <c r="C209" s="327">
        <f>('Pivot Table for Data Exchange'!$H$441)*100</f>
        <v>0</v>
      </c>
      <c r="D209" s="328">
        <f>SUM(E209:G209)</f>
        <v>0</v>
      </c>
      <c r="E209" s="327">
        <f>('Pivot Table for Data Exchange'!$H$444)*100</f>
        <v>0</v>
      </c>
      <c r="F209" s="327">
        <f>('Pivot Table for Data Exchange'!$H$447)*100</f>
        <v>0</v>
      </c>
      <c r="G209" s="335">
        <f>('Pivot Table for Data Exchange'!$H$450)*100</f>
        <v>0</v>
      </c>
      <c r="H209" s="327">
        <f>('Pivot Table for Data Exchange'!$H$453)*100</f>
        <v>0</v>
      </c>
      <c r="I209" s="333" t="s">
        <v>837</v>
      </c>
      <c r="J209" s="327">
        <f>('Pivot Table for Data Exchange'!$H$456)*100</f>
        <v>0</v>
      </c>
      <c r="K209" s="327">
        <f>('Pivot Table for Data Exchange'!$H$459)*100</f>
        <v>0</v>
      </c>
      <c r="L209" s="328">
        <f>SUM(M209:O209)</f>
        <v>0</v>
      </c>
      <c r="M209" s="327">
        <f>('Pivot Table for Data Exchange'!$H$462)*100</f>
        <v>0</v>
      </c>
      <c r="N209" s="327">
        <f>('Pivot Table for Data Exchange'!$H$465)*100</f>
        <v>0</v>
      </c>
      <c r="O209" s="335">
        <f>('Pivot Table for Data Exchange'!$H$468)*100</f>
        <v>0</v>
      </c>
      <c r="P209" s="327">
        <f>('Pivot Table for Data Exchange'!$H$471)*100</f>
        <v>0</v>
      </c>
      <c r="Q209" s="332">
        <f t="shared" si="52"/>
        <v>0</v>
      </c>
      <c r="R209" s="332">
        <f t="shared" si="53"/>
        <v>0</v>
      </c>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row>
    <row r="210" spans="1:41" ht="15.75" customHeight="1">
      <c r="A210" s="298" t="s">
        <v>838</v>
      </c>
      <c r="B210" s="327">
        <f>('Pivot Table for Data Exchange'!$H$474)*100</f>
        <v>0</v>
      </c>
      <c r="C210" s="327">
        <f>('Pivot Table for Data Exchange'!$H$477)*100</f>
        <v>0</v>
      </c>
      <c r="D210" s="328">
        <f>SUM(E210:G210)</f>
        <v>0</v>
      </c>
      <c r="E210" s="327">
        <f>('Pivot Table for Data Exchange'!$H$480)*100</f>
        <v>0</v>
      </c>
      <c r="F210" s="327">
        <f>('Pivot Table for Data Exchange'!$H$483)*100</f>
        <v>0</v>
      </c>
      <c r="G210" s="334">
        <f>('Pivot Table for Data Exchange'!$H$486)*100</f>
        <v>0</v>
      </c>
      <c r="H210" s="327">
        <f>('Pivot Table for Data Exchange'!$H$489)*100</f>
        <v>0</v>
      </c>
      <c r="I210" s="333" t="s">
        <v>838</v>
      </c>
      <c r="J210" s="327">
        <f>('Pivot Table for Data Exchange'!$H$492)*100</f>
        <v>0</v>
      </c>
      <c r="K210" s="327">
        <f>('Pivot Table for Data Exchange'!$H$495)*100</f>
        <v>0</v>
      </c>
      <c r="L210" s="328">
        <f>SUM(M210:O210)</f>
        <v>0</v>
      </c>
      <c r="M210" s="327">
        <f>('Pivot Table for Data Exchange'!$H$498)*100</f>
        <v>0</v>
      </c>
      <c r="N210" s="327">
        <f>('Pivot Table for Data Exchange'!$H$501)*100</f>
        <v>0</v>
      </c>
      <c r="O210" s="335">
        <f>('Pivot Table for Data Exchange'!$H$504)*100</f>
        <v>0</v>
      </c>
      <c r="P210" s="327">
        <f>('Pivot Table for Data Exchange'!$H$507)*100</f>
        <v>0</v>
      </c>
      <c r="Q210" s="332">
        <f t="shared" si="52"/>
        <v>0</v>
      </c>
      <c r="R210" s="332">
        <f t="shared" si="53"/>
        <v>0</v>
      </c>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row>
    <row r="211" spans="1:41" ht="15.75" customHeight="1">
      <c r="A211" s="298" t="s">
        <v>839</v>
      </c>
      <c r="B211" s="327">
        <f>('Pivot Table for Data Exchange'!$H$510)*100</f>
        <v>77.384827240861284</v>
      </c>
      <c r="C211" s="327">
        <f>('Pivot Table for Data Exchange'!$H$513)*100</f>
        <v>0</v>
      </c>
      <c r="D211" s="328">
        <f t="shared" ref="D211" si="56">SUM(E211:G211)</f>
        <v>22.615172759138709</v>
      </c>
      <c r="E211" s="327">
        <f>('Pivot Table for Data Exchange'!$H$516)*100</f>
        <v>22.615172759138709</v>
      </c>
      <c r="F211" s="327">
        <f>('Pivot Table for Data Exchange'!$H$519)*100</f>
        <v>0</v>
      </c>
      <c r="G211" s="335">
        <f>('Pivot Table for Data Exchange'!$H$522)*100</f>
        <v>0</v>
      </c>
      <c r="H211" s="327">
        <f>('Pivot Table for Data Exchange'!$H$525)*100</f>
        <v>0</v>
      </c>
      <c r="I211" s="333" t="s">
        <v>839</v>
      </c>
      <c r="J211" s="327">
        <f>('Pivot Table for Data Exchange'!$H$528)*100</f>
        <v>0</v>
      </c>
      <c r="K211" s="327">
        <f>('Pivot Table for Data Exchange'!$H$531)*100</f>
        <v>0</v>
      </c>
      <c r="L211" s="328">
        <f t="shared" ref="L211" si="57">SUM(M211:O211)</f>
        <v>0</v>
      </c>
      <c r="M211" s="327">
        <f>('Pivot Table for Data Exchange'!$H$534)*100</f>
        <v>0</v>
      </c>
      <c r="N211" s="327">
        <f>('Pivot Table for Data Exchange'!$H$537)*100</f>
        <v>0</v>
      </c>
      <c r="O211" s="335">
        <f>('Pivot Table for Data Exchange'!$H$540)*100</f>
        <v>0</v>
      </c>
      <c r="P211" s="327">
        <f>('Pivot Table for Data Exchange'!$H$543)*100</f>
        <v>0</v>
      </c>
      <c r="Q211" s="332">
        <f t="shared" si="52"/>
        <v>100</v>
      </c>
      <c r="R211" s="332">
        <f t="shared" si="53"/>
        <v>0</v>
      </c>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3"/>
      <c r="AO211" s="333"/>
    </row>
    <row r="212" spans="1:41" ht="15.75" customHeight="1">
      <c r="A212" s="304" t="s">
        <v>840</v>
      </c>
      <c r="B212" s="340">
        <f>('Pivot Table for Data Exchange'!$H$546)*100</f>
        <v>63.630152070427862</v>
      </c>
      <c r="C212" s="340">
        <f>('Pivot Table for Data Exchange'!$H$549)*100</f>
        <v>10.769161269192328</v>
      </c>
      <c r="D212" s="341">
        <f>SUM(E212:G212)</f>
        <v>25.600686660379807</v>
      </c>
      <c r="E212" s="340">
        <f>('Pivot Table for Data Exchange'!$H$552)*100</f>
        <v>24.142098041097977</v>
      </c>
      <c r="F212" s="340">
        <f>('Pivot Table for Data Exchange'!$H$555)*100</f>
        <v>1.4568945558448012</v>
      </c>
      <c r="G212" s="363">
        <f>('Pivot Table for Data Exchange'!$H$558)*100</f>
        <v>1.6940634370288387E-3</v>
      </c>
      <c r="H212" s="340">
        <f>('Pivot Table for Data Exchange'!$H$561)*100</f>
        <v>0</v>
      </c>
      <c r="I212" s="343" t="s">
        <v>840</v>
      </c>
      <c r="J212" s="340">
        <f>('Pivot Table for Data Exchange'!$H$564)*100</f>
        <v>68.5214626391097</v>
      </c>
      <c r="K212" s="340">
        <f>('Pivot Table for Data Exchange'!$H$567)*100</f>
        <v>4.6104928457869638</v>
      </c>
      <c r="L212" s="341">
        <f>SUM(M212:O212)</f>
        <v>26.868044515103339</v>
      </c>
      <c r="M212" s="340">
        <f>('Pivot Table for Data Exchange'!$H$570)*100</f>
        <v>26.868044515103339</v>
      </c>
      <c r="N212" s="340">
        <f>('Pivot Table for Data Exchange'!$H$573)*100</f>
        <v>0</v>
      </c>
      <c r="O212" s="342">
        <f>('Pivot Table for Data Exchange'!$H$576)*100</f>
        <v>0</v>
      </c>
      <c r="P212" s="340">
        <f>('Pivot Table for Data Exchange'!$H$579)*100</f>
        <v>0</v>
      </c>
      <c r="Q212" s="332">
        <f t="shared" si="52"/>
        <v>100</v>
      </c>
      <c r="R212" s="332">
        <f t="shared" si="53"/>
        <v>100</v>
      </c>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row>
    <row r="213" spans="1:41" s="345" customFormat="1" ht="12" customHeight="1">
      <c r="A213" s="346" t="s">
        <v>866</v>
      </c>
      <c r="B213" s="347"/>
      <c r="C213" s="347"/>
      <c r="D213" s="348"/>
      <c r="E213" s="347"/>
      <c r="F213" s="348"/>
      <c r="G213" s="348"/>
      <c r="H213" s="347"/>
      <c r="I213" s="346" t="s">
        <v>866</v>
      </c>
      <c r="J213" s="347"/>
      <c r="K213" s="347"/>
      <c r="L213" s="348"/>
      <c r="M213" s="347"/>
      <c r="N213" s="348"/>
      <c r="O213" s="348"/>
      <c r="P213" s="347"/>
      <c r="Q213" s="332">
        <f t="shared" si="52"/>
        <v>0</v>
      </c>
      <c r="R213" s="332">
        <f t="shared" si="53"/>
        <v>0</v>
      </c>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row>
    <row r="214" spans="1:41" s="345" customFormat="1" ht="22.5" customHeight="1">
      <c r="A214" s="455" t="s">
        <v>872</v>
      </c>
      <c r="B214" s="467"/>
      <c r="C214" s="467"/>
      <c r="D214" s="467"/>
      <c r="E214" s="467"/>
      <c r="F214" s="467"/>
      <c r="G214" s="467"/>
      <c r="H214" s="467"/>
      <c r="I214" s="455"/>
      <c r="J214" s="467"/>
      <c r="K214" s="467"/>
      <c r="L214" s="467"/>
      <c r="M214" s="467"/>
      <c r="N214" s="467"/>
      <c r="O214" s="467"/>
      <c r="P214" s="467"/>
      <c r="Q214" s="332">
        <f t="shared" si="52"/>
        <v>0</v>
      </c>
      <c r="R214" s="332">
        <f t="shared" si="53"/>
        <v>0</v>
      </c>
    </row>
    <row r="215" spans="1:41" s="345" customFormat="1" ht="10.5" customHeight="1">
      <c r="A215" s="350"/>
      <c r="B215" s="359"/>
      <c r="C215" s="359"/>
      <c r="D215" s="300"/>
      <c r="E215" s="359"/>
      <c r="F215" s="359"/>
      <c r="G215" s="359"/>
      <c r="H215" s="359"/>
      <c r="I215" s="350"/>
      <c r="J215" s="359"/>
      <c r="K215" s="359"/>
      <c r="L215" s="300"/>
      <c r="M215" s="359"/>
      <c r="N215" s="359"/>
      <c r="O215" s="359"/>
      <c r="P215" s="359"/>
      <c r="Q215" s="332"/>
      <c r="R215" s="332"/>
    </row>
    <row r="216" spans="1:41" s="345" customFormat="1">
      <c r="H216" s="351" t="s">
        <v>980</v>
      </c>
      <c r="P216" s="351" t="s">
        <v>980</v>
      </c>
      <c r="Q216" s="332">
        <f t="shared" si="52"/>
        <v>0</v>
      </c>
      <c r="R216" s="332">
        <f t="shared" si="53"/>
        <v>0</v>
      </c>
    </row>
    <row r="217" spans="1:41" ht="18">
      <c r="A217" s="293" t="s">
        <v>879</v>
      </c>
      <c r="B217" s="294"/>
      <c r="C217" s="294"/>
      <c r="D217" s="294"/>
      <c r="E217" s="294"/>
      <c r="F217" s="294"/>
      <c r="G217" s="294"/>
      <c r="H217" s="294"/>
      <c r="I217" s="298"/>
      <c r="Q217" s="332">
        <f t="shared" si="52"/>
        <v>0</v>
      </c>
    </row>
    <row r="218" spans="1:41">
      <c r="A218" s="299"/>
      <c r="B218" s="295"/>
      <c r="C218" s="295"/>
      <c r="D218" s="295"/>
      <c r="E218" s="295"/>
      <c r="F218" s="295"/>
      <c r="G218" s="295"/>
      <c r="H218" s="295"/>
      <c r="I218" s="298"/>
      <c r="Q218" s="332">
        <f t="shared" si="52"/>
        <v>0</v>
      </c>
    </row>
    <row r="219" spans="1:41" ht="15.75">
      <c r="A219" s="301" t="s">
        <v>846</v>
      </c>
      <c r="B219" s="295"/>
      <c r="C219" s="295"/>
      <c r="D219" s="295"/>
      <c r="E219" s="295"/>
      <c r="F219" s="295"/>
      <c r="G219" s="295"/>
      <c r="H219" s="295"/>
      <c r="L219" s="295"/>
      <c r="Q219" s="332">
        <f t="shared" si="52"/>
        <v>0</v>
      </c>
    </row>
    <row r="220" spans="1:41" ht="15.75">
      <c r="A220" s="301" t="s">
        <v>898</v>
      </c>
      <c r="B220" s="295"/>
      <c r="C220" s="295"/>
      <c r="D220" s="295"/>
      <c r="E220" s="295"/>
      <c r="F220" s="295"/>
      <c r="G220" s="295"/>
      <c r="H220" s="295"/>
      <c r="Q220" s="332">
        <f t="shared" si="52"/>
        <v>0</v>
      </c>
    </row>
    <row r="221" spans="1:41">
      <c r="A221" s="304"/>
      <c r="B221" s="305"/>
      <c r="C221" s="305"/>
      <c r="D221" s="305"/>
      <c r="E221" s="305"/>
      <c r="F221" s="305"/>
      <c r="G221" s="305"/>
      <c r="H221" s="305"/>
      <c r="Q221" s="332">
        <f t="shared" si="52"/>
        <v>0</v>
      </c>
    </row>
    <row r="222" spans="1:41">
      <c r="A222" s="309"/>
      <c r="B222" s="310" t="s">
        <v>848</v>
      </c>
      <c r="C222" s="310"/>
      <c r="D222" s="310"/>
      <c r="E222" s="310"/>
      <c r="F222" s="310"/>
      <c r="G222" s="310"/>
      <c r="H222" s="311"/>
      <c r="Q222" s="332">
        <f t="shared" si="52"/>
        <v>0</v>
      </c>
    </row>
    <row r="223" spans="1:41">
      <c r="A223" s="309"/>
      <c r="B223" s="310" t="s">
        <v>849</v>
      </c>
      <c r="C223" s="310"/>
      <c r="D223" s="450" t="s">
        <v>850</v>
      </c>
      <c r="E223" s="448"/>
      <c r="F223" s="448"/>
      <c r="G223" s="448"/>
      <c r="H223" s="317" t="s">
        <v>740</v>
      </c>
      <c r="Q223" s="332">
        <f t="shared" si="52"/>
        <v>0</v>
      </c>
    </row>
    <row r="224" spans="1:41" ht="36">
      <c r="A224" s="309"/>
      <c r="B224" s="318" t="s">
        <v>851</v>
      </c>
      <c r="C224" s="319" t="s">
        <v>852</v>
      </c>
      <c r="D224" s="320" t="s">
        <v>853</v>
      </c>
      <c r="E224" s="321" t="s">
        <v>8</v>
      </c>
      <c r="F224" s="318" t="s">
        <v>854</v>
      </c>
      <c r="G224" s="322" t="s">
        <v>864</v>
      </c>
      <c r="H224" s="323" t="s">
        <v>856</v>
      </c>
      <c r="I224" s="352"/>
      <c r="J224" s="314"/>
      <c r="K224" s="314"/>
      <c r="L224" s="314"/>
      <c r="M224" s="314"/>
      <c r="N224" s="314"/>
      <c r="O224" s="314"/>
      <c r="Q224" s="332">
        <f t="shared" si="52"/>
        <v>0</v>
      </c>
    </row>
    <row r="225" spans="1:41" ht="15.75" customHeight="1">
      <c r="A225" s="353" t="s">
        <v>825</v>
      </c>
      <c r="B225" s="327">
        <f>('Pivot Table for Data Exchange'!$O$6)*100</f>
        <v>68.30578312263242</v>
      </c>
      <c r="C225" s="327">
        <f>('Pivot Table for Data Exchange'!$O$9)*100</f>
        <v>7.196916518049</v>
      </c>
      <c r="D225" s="328">
        <f>SUM(E225:G225)</f>
        <v>24.3980448066172</v>
      </c>
      <c r="E225" s="327">
        <f>('Pivot Table for Data Exchange'!$O$12)*100</f>
        <v>24.054175507604178</v>
      </c>
      <c r="F225" s="327">
        <f>('Pivot Table for Data Exchange'!$O$15)*100</f>
        <v>0.31241896020152737</v>
      </c>
      <c r="G225" s="331">
        <f>('Pivot Table for Data Exchange'!$O$18)*100</f>
        <v>3.145033881149599E-2</v>
      </c>
      <c r="H225" s="354">
        <f>('Pivot Table for Data Exchange'!$O$21)*100</f>
        <v>9.9255552701387917E-2</v>
      </c>
      <c r="I225" s="365"/>
      <c r="J225" s="365"/>
      <c r="K225" s="365"/>
      <c r="L225" s="365"/>
      <c r="M225" s="365"/>
      <c r="N225" s="365"/>
      <c r="O225" s="365"/>
      <c r="P225" s="366"/>
      <c r="Q225" s="332">
        <f t="shared" si="52"/>
        <v>100.00000000000001</v>
      </c>
      <c r="R225" s="332"/>
      <c r="Z225" s="333"/>
      <c r="AA225" s="333"/>
      <c r="AB225" s="333"/>
      <c r="AC225" s="333"/>
      <c r="AD225" s="333"/>
      <c r="AE225" s="333"/>
      <c r="AF225" s="333"/>
      <c r="AG225" s="333"/>
      <c r="AH225" s="333"/>
      <c r="AI225" s="333"/>
      <c r="AJ225" s="333"/>
      <c r="AK225" s="333"/>
      <c r="AL225" s="333"/>
      <c r="AM225" s="333"/>
      <c r="AN225" s="333"/>
      <c r="AO225" s="333"/>
    </row>
    <row r="226" spans="1:41" ht="15.75" customHeight="1">
      <c r="A226" s="298" t="s">
        <v>826</v>
      </c>
      <c r="B226" s="327">
        <f>('Pivot Table for Data Exchange'!$O$42)*100</f>
        <v>63.38642741559849</v>
      </c>
      <c r="C226" s="327">
        <f>('Pivot Table for Data Exchange'!$O$45)*100</f>
        <v>9.3992192026109294</v>
      </c>
      <c r="D226" s="328">
        <f t="shared" ref="D226:D228" si="58">SUM(E226:G226)</f>
        <v>27.21435338179058</v>
      </c>
      <c r="E226" s="327">
        <f>('Pivot Table for Data Exchange'!$O$48)*100</f>
        <v>26.154083940450796</v>
      </c>
      <c r="F226" s="327">
        <f>('Pivot Table for Data Exchange'!$O$51)*100</f>
        <v>1.0602694413397835</v>
      </c>
      <c r="G226" s="338">
        <f>('Pivot Table for Data Exchange'!$O$54)*100</f>
        <v>0</v>
      </c>
      <c r="H226" s="336">
        <f>('Pivot Table for Data Exchange'!$O$57)*100</f>
        <v>0</v>
      </c>
      <c r="I226" s="365"/>
      <c r="J226" s="365"/>
      <c r="K226" s="365"/>
      <c r="L226" s="365"/>
      <c r="M226" s="365"/>
      <c r="N226" s="365"/>
      <c r="O226" s="365"/>
      <c r="P226" s="366"/>
      <c r="Q226" s="332">
        <f t="shared" si="52"/>
        <v>100</v>
      </c>
      <c r="R226" s="332"/>
      <c r="Z226" s="333"/>
      <c r="AA226" s="333"/>
      <c r="AB226" s="333"/>
      <c r="AC226" s="333"/>
      <c r="AD226" s="333"/>
      <c r="AE226" s="333"/>
      <c r="AF226" s="333"/>
      <c r="AG226" s="333"/>
      <c r="AH226" s="333"/>
      <c r="AI226" s="333"/>
      <c r="AJ226" s="333"/>
      <c r="AK226" s="333"/>
      <c r="AL226" s="333"/>
      <c r="AM226" s="333"/>
      <c r="AN226" s="333"/>
      <c r="AO226" s="333"/>
    </row>
    <row r="227" spans="1:41" ht="15.75" customHeight="1">
      <c r="A227" s="298" t="s">
        <v>827</v>
      </c>
      <c r="B227" s="327">
        <f>('Pivot Table for Data Exchange'!$O$78)*100</f>
        <v>83.456419910633556</v>
      </c>
      <c r="C227" s="327">
        <f>('Pivot Table for Data Exchange'!$O$81)*100</f>
        <v>0</v>
      </c>
      <c r="D227" s="328">
        <f t="shared" si="58"/>
        <v>16.543580089366436</v>
      </c>
      <c r="E227" s="327">
        <f>('Pivot Table for Data Exchange'!$O$84)*100</f>
        <v>16.020477637928277</v>
      </c>
      <c r="F227" s="327">
        <f>('Pivot Table for Data Exchange'!$O$87)*100</f>
        <v>0.32628794446035991</v>
      </c>
      <c r="G227" s="335">
        <f>('Pivot Table for Data Exchange'!$O$90)*100</f>
        <v>0.19681450697779979</v>
      </c>
      <c r="H227" s="327">
        <f>('Pivot Table for Data Exchange'!$O$93)*100</f>
        <v>0</v>
      </c>
      <c r="I227" s="365"/>
      <c r="J227" s="365"/>
      <c r="K227" s="365"/>
      <c r="L227" s="365"/>
      <c r="M227" s="365"/>
      <c r="N227" s="365"/>
      <c r="O227" s="365"/>
      <c r="P227" s="366"/>
      <c r="Q227" s="332">
        <f t="shared" si="52"/>
        <v>100</v>
      </c>
      <c r="R227" s="332"/>
      <c r="Z227" s="333"/>
      <c r="AA227" s="333"/>
      <c r="AB227" s="333"/>
      <c r="AC227" s="333"/>
      <c r="AD227" s="333"/>
      <c r="AE227" s="333"/>
      <c r="AF227" s="333"/>
      <c r="AG227" s="333"/>
      <c r="AH227" s="333"/>
      <c r="AI227" s="333"/>
      <c r="AJ227" s="333"/>
      <c r="AK227" s="333"/>
      <c r="AL227" s="333"/>
      <c r="AM227" s="333"/>
      <c r="AN227" s="333"/>
      <c r="AO227" s="333"/>
    </row>
    <row r="228" spans="1:41" ht="15.75" customHeight="1">
      <c r="A228" s="298" t="s">
        <v>865</v>
      </c>
      <c r="B228" s="327">
        <f>('Pivot Table for Data Exchange'!$O$114)*100</f>
        <v>70.105314957486215</v>
      </c>
      <c r="C228" s="327">
        <f>('Pivot Table for Data Exchange'!$O$117)*100</f>
        <v>3.5524317511253614</v>
      </c>
      <c r="D228" s="328">
        <f t="shared" si="58"/>
        <v>26.306326309729574</v>
      </c>
      <c r="E228" s="327">
        <f>('Pivot Table for Data Exchange'!$O$120)*100</f>
        <v>26.244560977680887</v>
      </c>
      <c r="F228" s="327">
        <f>('Pivot Table for Data Exchange'!$O$123)*100</f>
        <v>1.0275865692122507E-2</v>
      </c>
      <c r="G228" s="335">
        <f>('Pivot Table for Data Exchange'!$O$126)*100</f>
        <v>5.1489466356562409E-2</v>
      </c>
      <c r="H228" s="339">
        <f>('Pivot Table for Data Exchange'!$O$129)*100</f>
        <v>3.5926981658846321E-2</v>
      </c>
      <c r="I228" s="365"/>
      <c r="J228" s="365"/>
      <c r="K228" s="365"/>
      <c r="L228" s="365"/>
      <c r="M228" s="365"/>
      <c r="N228" s="365"/>
      <c r="O228" s="365"/>
      <c r="P228" s="366"/>
      <c r="Q228" s="332">
        <f t="shared" si="52"/>
        <v>99.999999999999986</v>
      </c>
      <c r="R228" s="332"/>
      <c r="Z228" s="333"/>
      <c r="AA228" s="333"/>
      <c r="AB228" s="333"/>
      <c r="AC228" s="333"/>
      <c r="AD228" s="333"/>
      <c r="AE228" s="333"/>
      <c r="AF228" s="333"/>
      <c r="AG228" s="333"/>
      <c r="AH228" s="333"/>
      <c r="AI228" s="333"/>
      <c r="AJ228" s="333"/>
      <c r="AK228" s="333"/>
      <c r="AL228" s="333"/>
      <c r="AM228" s="333"/>
      <c r="AN228" s="333"/>
      <c r="AO228" s="333"/>
    </row>
    <row r="229" spans="1:41" ht="15.75" customHeight="1">
      <c r="B229" s="327"/>
      <c r="C229" s="327"/>
      <c r="D229" s="328"/>
      <c r="E229" s="327"/>
      <c r="F229" s="327"/>
      <c r="G229" s="335"/>
      <c r="H229" s="327"/>
      <c r="I229" s="365"/>
      <c r="J229" s="365"/>
      <c r="K229" s="365"/>
      <c r="L229" s="365"/>
      <c r="M229" s="365"/>
      <c r="N229" s="365"/>
      <c r="O229" s="365"/>
      <c r="P229" s="366"/>
      <c r="Q229" s="332">
        <f t="shared" si="52"/>
        <v>0</v>
      </c>
      <c r="R229" s="332"/>
      <c r="Z229" s="333"/>
      <c r="AA229" s="333"/>
      <c r="AB229" s="333"/>
      <c r="AC229" s="333"/>
      <c r="AD229" s="333"/>
      <c r="AE229" s="333"/>
      <c r="AF229" s="333"/>
      <c r="AG229" s="333"/>
      <c r="AH229" s="333"/>
      <c r="AI229" s="333"/>
      <c r="AJ229" s="333"/>
      <c r="AK229" s="333"/>
      <c r="AL229" s="333"/>
      <c r="AM229" s="333"/>
      <c r="AN229" s="333"/>
      <c r="AO229" s="333"/>
    </row>
    <row r="230" spans="1:41" ht="15.75" customHeight="1">
      <c r="A230" s="298" t="s">
        <v>829</v>
      </c>
      <c r="B230" s="327">
        <f>('Pivot Table for Data Exchange'!$O$150)*100</f>
        <v>65.388022744627065</v>
      </c>
      <c r="C230" s="327">
        <f>('Pivot Table for Data Exchange'!$O$153)*100</f>
        <v>14.0484027607885</v>
      </c>
      <c r="D230" s="328">
        <f t="shared" ref="D230:D233" si="59">SUM(E230:G230)</f>
        <v>20.563574494584433</v>
      </c>
      <c r="E230" s="327">
        <f>('Pivot Table for Data Exchange'!$O$156)*100</f>
        <v>19.404473307682611</v>
      </c>
      <c r="F230" s="327">
        <f>('Pivot Table for Data Exchange'!$O$159)*100</f>
        <v>0</v>
      </c>
      <c r="G230" s="335">
        <f>('Pivot Table for Data Exchange'!$O$162)*100</f>
        <v>1.1591011869018231</v>
      </c>
      <c r="H230" s="327">
        <f>('Pivot Table for Data Exchange'!$O$165)*100</f>
        <v>0</v>
      </c>
      <c r="I230" s="365"/>
      <c r="J230" s="365"/>
      <c r="K230" s="365"/>
      <c r="L230" s="365"/>
      <c r="M230" s="365"/>
      <c r="N230" s="365"/>
      <c r="O230" s="365"/>
      <c r="P230" s="366"/>
      <c r="Q230" s="332">
        <f t="shared" si="52"/>
        <v>100</v>
      </c>
      <c r="R230" s="332"/>
      <c r="Z230" s="333"/>
      <c r="AA230" s="333"/>
      <c r="AB230" s="333"/>
      <c r="AC230" s="333"/>
      <c r="AD230" s="333"/>
      <c r="AE230" s="333"/>
      <c r="AF230" s="333"/>
      <c r="AG230" s="333"/>
      <c r="AH230" s="333"/>
      <c r="AI230" s="333"/>
      <c r="AJ230" s="333"/>
      <c r="AK230" s="333"/>
      <c r="AL230" s="333"/>
      <c r="AM230" s="333"/>
      <c r="AN230" s="333"/>
      <c r="AO230" s="333"/>
    </row>
    <row r="231" spans="1:41" ht="15.75" customHeight="1">
      <c r="A231" s="298" t="s">
        <v>830</v>
      </c>
      <c r="B231" s="327">
        <f>('Pivot Table for Data Exchange'!$O$186)*100</f>
        <v>53.31196721526802</v>
      </c>
      <c r="C231" s="327">
        <f>('Pivot Table for Data Exchange'!$O$189)*100</f>
        <v>6.0086460536166975</v>
      </c>
      <c r="D231" s="328">
        <f t="shared" si="59"/>
        <v>40.679386731115287</v>
      </c>
      <c r="E231" s="327">
        <f>('Pivot Table for Data Exchange'!$O$192)*100</f>
        <v>40.679386731115287</v>
      </c>
      <c r="F231" s="327">
        <f>('Pivot Table for Data Exchange'!$O$195)*100</f>
        <v>0</v>
      </c>
      <c r="G231" s="335">
        <f>('Pivot Table for Data Exchange'!$O$198)*100</f>
        <v>0</v>
      </c>
      <c r="H231" s="327">
        <f>('Pivot Table for Data Exchange'!$O$201)*100</f>
        <v>0</v>
      </c>
      <c r="I231" s="365"/>
      <c r="J231" s="365"/>
      <c r="K231" s="365"/>
      <c r="L231" s="365"/>
      <c r="M231" s="365"/>
      <c r="N231" s="365"/>
      <c r="O231" s="365"/>
      <c r="P231" s="366"/>
      <c r="Q231" s="332">
        <f t="shared" si="52"/>
        <v>100</v>
      </c>
      <c r="R231" s="332"/>
      <c r="Z231" s="333"/>
      <c r="AA231" s="333"/>
      <c r="AB231" s="333"/>
      <c r="AC231" s="333"/>
      <c r="AD231" s="333"/>
      <c r="AE231" s="333"/>
      <c r="AF231" s="333"/>
      <c r="AG231" s="333"/>
      <c r="AH231" s="333"/>
      <c r="AI231" s="333"/>
      <c r="AJ231" s="333"/>
      <c r="AK231" s="333"/>
      <c r="AL231" s="333"/>
      <c r="AM231" s="333"/>
      <c r="AN231" s="333"/>
      <c r="AO231" s="333"/>
    </row>
    <row r="232" spans="1:41" ht="15.75" customHeight="1">
      <c r="A232" s="298" t="s">
        <v>831</v>
      </c>
      <c r="B232" s="327">
        <f>('Pivot Table for Data Exchange'!$O$222)*100</f>
        <v>79.896506082261809</v>
      </c>
      <c r="C232" s="327">
        <f>('Pivot Table for Data Exchange'!$O$225)*100</f>
        <v>0</v>
      </c>
      <c r="D232" s="328">
        <f t="shared" si="59"/>
        <v>20.103493917738184</v>
      </c>
      <c r="E232" s="327">
        <f>('Pivot Table for Data Exchange'!$O$228)*100</f>
        <v>20.103493917738184</v>
      </c>
      <c r="F232" s="327">
        <f>('Pivot Table for Data Exchange'!$O$231)*100</f>
        <v>0</v>
      </c>
      <c r="G232" s="335">
        <f>('Pivot Table for Data Exchange'!$O$234)*100</f>
        <v>0</v>
      </c>
      <c r="H232" s="327">
        <f>('Pivot Table for Data Exchange'!$O$237)*100</f>
        <v>0</v>
      </c>
      <c r="I232" s="365"/>
      <c r="J232" s="365"/>
      <c r="K232" s="365"/>
      <c r="L232" s="365"/>
      <c r="M232" s="365"/>
      <c r="N232" s="365"/>
      <c r="O232" s="365"/>
      <c r="P232" s="366"/>
      <c r="Q232" s="332">
        <f t="shared" si="52"/>
        <v>100</v>
      </c>
      <c r="R232" s="332"/>
      <c r="Z232" s="333"/>
      <c r="AA232" s="333"/>
      <c r="AB232" s="333"/>
      <c r="AC232" s="333"/>
      <c r="AD232" s="333"/>
      <c r="AE232" s="333"/>
      <c r="AF232" s="333"/>
      <c r="AG232" s="333"/>
      <c r="AH232" s="333"/>
      <c r="AI232" s="333"/>
      <c r="AJ232" s="333"/>
      <c r="AK232" s="333"/>
      <c r="AL232" s="333"/>
      <c r="AM232" s="333"/>
      <c r="AN232" s="333"/>
      <c r="AO232" s="333"/>
    </row>
    <row r="233" spans="1:41" ht="15.75" customHeight="1">
      <c r="A233" s="298" t="s">
        <v>832</v>
      </c>
      <c r="B233" s="327">
        <f>('Pivot Table for Data Exchange'!$O$258)*100</f>
        <v>67.131552450775743</v>
      </c>
      <c r="C233" s="327">
        <f>('Pivot Table for Data Exchange'!$O$261)*100</f>
        <v>13.852347066190877</v>
      </c>
      <c r="D233" s="328">
        <f t="shared" si="59"/>
        <v>19.013795826304445</v>
      </c>
      <c r="E233" s="327">
        <f>('Pivot Table for Data Exchange'!$O$264)*100</f>
        <v>18.870642640305423</v>
      </c>
      <c r="F233" s="327">
        <f>('Pivot Table for Data Exchange'!$O$267)*100</f>
        <v>0.14315318599902147</v>
      </c>
      <c r="G233" s="334">
        <f>('Pivot Table for Data Exchange'!$O$270)*100</f>
        <v>0</v>
      </c>
      <c r="H233" s="336">
        <f>('Pivot Table for Data Exchange'!$O$273)*100</f>
        <v>2.3046567289364763E-3</v>
      </c>
      <c r="I233" s="365"/>
      <c r="J233" s="365"/>
      <c r="K233" s="365"/>
      <c r="L233" s="365"/>
      <c r="M233" s="365"/>
      <c r="N233" s="365"/>
      <c r="O233" s="365"/>
      <c r="P233" s="366"/>
      <c r="Q233" s="332">
        <f t="shared" si="52"/>
        <v>100</v>
      </c>
      <c r="R233" s="332"/>
      <c r="Z233" s="333"/>
      <c r="AA233" s="333"/>
      <c r="AB233" s="333"/>
      <c r="AC233" s="333"/>
      <c r="AD233" s="333"/>
      <c r="AE233" s="333"/>
      <c r="AF233" s="333"/>
      <c r="AG233" s="333"/>
      <c r="AH233" s="333"/>
      <c r="AI233" s="333"/>
      <c r="AJ233" s="333"/>
      <c r="AK233" s="333"/>
      <c r="AL233" s="333"/>
      <c r="AM233" s="333"/>
      <c r="AN233" s="333"/>
      <c r="AO233" s="333"/>
    </row>
    <row r="234" spans="1:41" ht="15.75" customHeight="1">
      <c r="B234" s="327"/>
      <c r="C234" s="327"/>
      <c r="D234" s="328"/>
      <c r="E234" s="327"/>
      <c r="F234" s="327"/>
      <c r="G234" s="335"/>
      <c r="H234" s="327"/>
      <c r="I234" s="365"/>
      <c r="J234" s="365"/>
      <c r="K234" s="365"/>
      <c r="L234" s="365"/>
      <c r="M234" s="365"/>
      <c r="N234" s="365"/>
      <c r="O234" s="365"/>
      <c r="P234" s="366"/>
      <c r="Q234" s="332">
        <f t="shared" si="52"/>
        <v>0</v>
      </c>
      <c r="R234" s="332"/>
      <c r="Z234" s="333"/>
      <c r="AA234" s="333"/>
      <c r="AB234" s="333"/>
      <c r="AC234" s="333"/>
      <c r="AD234" s="333"/>
      <c r="AE234" s="333"/>
      <c r="AF234" s="333"/>
      <c r="AG234" s="333"/>
      <c r="AH234" s="333"/>
      <c r="AI234" s="333"/>
      <c r="AJ234" s="333"/>
      <c r="AK234" s="333"/>
      <c r="AL234" s="333"/>
      <c r="AM234" s="333"/>
      <c r="AN234" s="333"/>
      <c r="AO234" s="333"/>
    </row>
    <row r="235" spans="1:41" ht="15.75" customHeight="1">
      <c r="A235" s="298" t="s">
        <v>880</v>
      </c>
      <c r="B235" s="327">
        <f>('Pivot Table for Data Exchange'!$O$294)*100</f>
        <v>71.257566288345615</v>
      </c>
      <c r="C235" s="327">
        <f>('Pivot Table for Data Exchange'!$O$297)*100</f>
        <v>2.9308881612600737</v>
      </c>
      <c r="D235" s="328">
        <f t="shared" ref="D235:D237" si="60">SUM(E235:G235)</f>
        <v>25.811545550394303</v>
      </c>
      <c r="E235" s="327">
        <f>('Pivot Table for Data Exchange'!$O$300)*100</f>
        <v>25.811545550394303</v>
      </c>
      <c r="F235" s="327">
        <f>('Pivot Table for Data Exchange'!$O$303)*100</f>
        <v>0</v>
      </c>
      <c r="G235" s="335">
        <f>('Pivot Table for Data Exchange'!$O$306)*100</f>
        <v>0</v>
      </c>
      <c r="H235" s="327">
        <f>('Pivot Table for Data Exchange'!$O$309)*100</f>
        <v>0</v>
      </c>
      <c r="I235" s="365"/>
      <c r="J235" s="365"/>
      <c r="K235" s="365"/>
      <c r="L235" s="365"/>
      <c r="M235" s="365"/>
      <c r="N235" s="365"/>
      <c r="O235" s="365"/>
      <c r="P235" s="366"/>
      <c r="Q235" s="332">
        <f t="shared" si="52"/>
        <v>99.999999999999986</v>
      </c>
      <c r="R235" s="332"/>
      <c r="Z235" s="333"/>
      <c r="AA235" s="333"/>
      <c r="AB235" s="333"/>
      <c r="AC235" s="333"/>
      <c r="AD235" s="333"/>
      <c r="AE235" s="333"/>
      <c r="AF235" s="333"/>
      <c r="AG235" s="333"/>
      <c r="AH235" s="333"/>
      <c r="AI235" s="333"/>
      <c r="AJ235" s="333"/>
      <c r="AK235" s="333"/>
      <c r="AL235" s="333"/>
      <c r="AM235" s="333"/>
      <c r="AN235" s="333"/>
      <c r="AO235" s="333"/>
    </row>
    <row r="236" spans="1:41" ht="15.75" customHeight="1">
      <c r="A236" s="298" t="s">
        <v>834</v>
      </c>
      <c r="B236" s="327">
        <f>('Pivot Table for Data Exchange'!$O$330)*100</f>
        <v>51.029406807643682</v>
      </c>
      <c r="C236" s="327">
        <f>('Pivot Table for Data Exchange'!$O$333)*100</f>
        <v>3.4231301949584418</v>
      </c>
      <c r="D236" s="328">
        <f t="shared" si="60"/>
        <v>45.547462997397858</v>
      </c>
      <c r="E236" s="327">
        <f>('Pivot Table for Data Exchange'!$O$336)*100</f>
        <v>45.149024331559616</v>
      </c>
      <c r="F236" s="327">
        <f>('Pivot Table for Data Exchange'!$O$339)*100</f>
        <v>0.33877904176406154</v>
      </c>
      <c r="G236" s="335">
        <f>('Pivot Table for Data Exchange'!$O$342)*100</f>
        <v>5.9659624074180531E-2</v>
      </c>
      <c r="H236" s="327">
        <f>('Pivot Table for Data Exchange'!$O$345)*100</f>
        <v>0</v>
      </c>
      <c r="I236" s="365"/>
      <c r="J236" s="365"/>
      <c r="K236" s="365"/>
      <c r="L236" s="365"/>
      <c r="M236" s="365"/>
      <c r="N236" s="365"/>
      <c r="O236" s="365"/>
      <c r="P236" s="366"/>
      <c r="Q236" s="332">
        <f t="shared" si="52"/>
        <v>99.999999999999972</v>
      </c>
      <c r="R236" s="332"/>
      <c r="Z236" s="333"/>
      <c r="AA236" s="333"/>
      <c r="AB236" s="333"/>
      <c r="AC236" s="333"/>
      <c r="AD236" s="333"/>
      <c r="AE236" s="333"/>
      <c r="AF236" s="333"/>
      <c r="AG236" s="333"/>
      <c r="AH236" s="333"/>
      <c r="AI236" s="333"/>
      <c r="AJ236" s="333"/>
      <c r="AK236" s="333"/>
      <c r="AL236" s="333"/>
      <c r="AM236" s="333"/>
      <c r="AN236" s="333"/>
      <c r="AO236" s="333"/>
    </row>
    <row r="237" spans="1:41" ht="15.75" customHeight="1">
      <c r="A237" s="298" t="s">
        <v>835</v>
      </c>
      <c r="B237" s="327">
        <f>('Pivot Table for Data Exchange'!$O$366)*100</f>
        <v>66.78498236984035</v>
      </c>
      <c r="C237" s="327">
        <f>('Pivot Table for Data Exchange'!$O$369)*100</f>
        <v>2.5723703794566646</v>
      </c>
      <c r="D237" s="328">
        <f t="shared" si="60"/>
        <v>30.642647250702979</v>
      </c>
      <c r="E237" s="327">
        <f>('Pivot Table for Data Exchange'!$O$372)*100</f>
        <v>28.216927922219469</v>
      </c>
      <c r="F237" s="327">
        <f>('Pivot Table for Data Exchange'!$O$375)*100</f>
        <v>2.0079552530687725</v>
      </c>
      <c r="G237" s="335">
        <f>('Pivot Table for Data Exchange'!$O$378)*100</f>
        <v>0.41776407541473648</v>
      </c>
      <c r="H237" s="339">
        <f>('Pivot Table for Data Exchange'!$O$381)*100</f>
        <v>0</v>
      </c>
      <c r="I237" s="365"/>
      <c r="J237" s="365"/>
      <c r="K237" s="365"/>
      <c r="L237" s="365"/>
      <c r="M237" s="365"/>
      <c r="N237" s="365"/>
      <c r="O237" s="365"/>
      <c r="P237" s="366"/>
      <c r="Q237" s="332">
        <f t="shared" si="52"/>
        <v>99.999999999999986</v>
      </c>
      <c r="R237" s="332"/>
      <c r="Z237" s="333"/>
      <c r="AA237" s="333"/>
      <c r="AB237" s="333"/>
      <c r="AC237" s="333"/>
      <c r="AD237" s="333"/>
      <c r="AE237" s="333"/>
      <c r="AF237" s="333"/>
      <c r="AG237" s="333"/>
      <c r="AH237" s="333"/>
      <c r="AI237" s="333"/>
      <c r="AJ237" s="333"/>
      <c r="AK237" s="333"/>
      <c r="AL237" s="333"/>
      <c r="AM237" s="333"/>
      <c r="AN237" s="333"/>
      <c r="AO237" s="333"/>
    </row>
    <row r="238" spans="1:41" ht="15.75" customHeight="1">
      <c r="A238" s="298" t="s">
        <v>836</v>
      </c>
      <c r="B238" s="327">
        <f>('Pivot Table for Data Exchange'!$O$402)*100</f>
        <v>59.887426223991405</v>
      </c>
      <c r="C238" s="327">
        <f>('Pivot Table for Data Exchange'!$O$405)*100</f>
        <v>8.4413313635941911</v>
      </c>
      <c r="D238" s="328">
        <f>SUM(E238:G238)</f>
        <v>31.671242412414404</v>
      </c>
      <c r="E238" s="327">
        <f>('Pivot Table for Data Exchange'!$O$408)*100</f>
        <v>30.632737525671661</v>
      </c>
      <c r="F238" s="327">
        <f>('Pivot Table for Data Exchange'!$O$411)*100</f>
        <v>1.0385048867427442</v>
      </c>
      <c r="G238" s="335">
        <f>('Pivot Table for Data Exchange'!$O$414)*100</f>
        <v>0</v>
      </c>
      <c r="H238" s="327">
        <f>('Pivot Table for Data Exchange'!$O$417)*100</f>
        <v>0</v>
      </c>
      <c r="I238" s="365"/>
      <c r="J238" s="365"/>
      <c r="K238" s="365"/>
      <c r="L238" s="365"/>
      <c r="M238" s="365"/>
      <c r="N238" s="365"/>
      <c r="O238" s="365"/>
      <c r="P238" s="366"/>
      <c r="Q238" s="332">
        <f t="shared" si="52"/>
        <v>100</v>
      </c>
      <c r="R238" s="332"/>
      <c r="Z238" s="333"/>
      <c r="AA238" s="333"/>
      <c r="AB238" s="333"/>
      <c r="AC238" s="333"/>
      <c r="AD238" s="333"/>
      <c r="AE238" s="333"/>
      <c r="AF238" s="333"/>
      <c r="AG238" s="333"/>
      <c r="AH238" s="333"/>
      <c r="AI238" s="333"/>
      <c r="AJ238" s="333"/>
      <c r="AK238" s="333"/>
      <c r="AL238" s="333"/>
      <c r="AM238" s="333"/>
      <c r="AN238" s="333"/>
      <c r="AO238" s="333"/>
    </row>
    <row r="239" spans="1:41" ht="10.5" customHeight="1">
      <c r="B239" s="327"/>
      <c r="C239" s="327"/>
      <c r="D239" s="328"/>
      <c r="E239" s="327"/>
      <c r="F239" s="327"/>
      <c r="G239" s="335"/>
      <c r="H239" s="327"/>
      <c r="I239" s="365"/>
      <c r="J239" s="365"/>
      <c r="K239" s="365"/>
      <c r="L239" s="365"/>
      <c r="M239" s="365"/>
      <c r="N239" s="365"/>
      <c r="O239" s="365"/>
      <c r="P239" s="366"/>
      <c r="Q239" s="332">
        <f t="shared" si="52"/>
        <v>0</v>
      </c>
      <c r="R239" s="332"/>
      <c r="Z239" s="333"/>
      <c r="AA239" s="333"/>
      <c r="AB239" s="333"/>
      <c r="AC239" s="333"/>
      <c r="AD239" s="333"/>
      <c r="AE239" s="333"/>
      <c r="AF239" s="333"/>
      <c r="AG239" s="333"/>
      <c r="AH239" s="333"/>
      <c r="AI239" s="333"/>
      <c r="AJ239" s="333"/>
      <c r="AK239" s="333"/>
      <c r="AL239" s="333"/>
      <c r="AM239" s="333"/>
      <c r="AN239" s="333"/>
      <c r="AO239" s="333"/>
    </row>
    <row r="240" spans="1:41" ht="15.75" customHeight="1">
      <c r="A240" s="298" t="s">
        <v>837</v>
      </c>
      <c r="B240" s="327">
        <f>('Pivot Table for Data Exchange'!$O$438)*100</f>
        <v>38.738337525657144</v>
      </c>
      <c r="C240" s="327">
        <f>('Pivot Table for Data Exchange'!$O$441)*100</f>
        <v>34.431493170348958</v>
      </c>
      <c r="D240" s="328">
        <f>SUM(E240:G240)</f>
        <v>26.692045592877346</v>
      </c>
      <c r="E240" s="327">
        <f>('Pivot Table for Data Exchange'!$O$444)*100</f>
        <v>20.434535266743882</v>
      </c>
      <c r="F240" s="327">
        <f>('Pivot Table for Data Exchange'!$O$447)*100</f>
        <v>1.6340420710842951</v>
      </c>
      <c r="G240" s="335">
        <f>('Pivot Table for Data Exchange'!$O$450)*100</f>
        <v>4.6234682550491684</v>
      </c>
      <c r="H240" s="327">
        <f>('Pivot Table for Data Exchange'!$O$453)*100</f>
        <v>0.1381237111165482</v>
      </c>
      <c r="I240" s="365"/>
      <c r="J240" s="365"/>
      <c r="K240" s="365"/>
      <c r="L240" s="365"/>
      <c r="M240" s="365"/>
      <c r="N240" s="365"/>
      <c r="O240" s="365"/>
      <c r="P240" s="366"/>
      <c r="Q240" s="332">
        <f t="shared" si="52"/>
        <v>100</v>
      </c>
      <c r="R240" s="332"/>
      <c r="Z240" s="333"/>
      <c r="AA240" s="333"/>
      <c r="AB240" s="333"/>
      <c r="AC240" s="333"/>
      <c r="AD240" s="333"/>
      <c r="AE240" s="333"/>
      <c r="AF240" s="333"/>
      <c r="AG240" s="333"/>
      <c r="AH240" s="333"/>
      <c r="AI240" s="333"/>
      <c r="AJ240" s="333"/>
      <c r="AK240" s="333"/>
      <c r="AL240" s="333"/>
      <c r="AM240" s="333"/>
      <c r="AN240" s="333"/>
      <c r="AO240" s="333"/>
    </row>
    <row r="241" spans="1:41" ht="15.75" customHeight="1">
      <c r="A241" s="298" t="s">
        <v>838</v>
      </c>
      <c r="B241" s="327">
        <f>('Pivot Table for Data Exchange'!$O$474)*100</f>
        <v>58.931940304823705</v>
      </c>
      <c r="C241" s="327">
        <f>('Pivot Table for Data Exchange'!$O$477)*100</f>
        <v>13.230680894910893</v>
      </c>
      <c r="D241" s="328">
        <f>SUM(E241:G241)</f>
        <v>27.837378800265402</v>
      </c>
      <c r="E241" s="327">
        <f>('Pivot Table for Data Exchange'!$O$480)*100</f>
        <v>27.272976553423245</v>
      </c>
      <c r="F241" s="327">
        <f>('Pivot Table for Data Exchange'!$O$483)*100</f>
        <v>0.43061571815023802</v>
      </c>
      <c r="G241" s="335">
        <f>('Pivot Table for Data Exchange'!$O$486)*100</f>
        <v>0.13378652869191696</v>
      </c>
      <c r="H241" s="327">
        <f>('Pivot Table for Data Exchange'!$O$489)*100</f>
        <v>0</v>
      </c>
      <c r="I241" s="365"/>
      <c r="J241" s="365"/>
      <c r="K241" s="365"/>
      <c r="L241" s="365"/>
      <c r="M241" s="365"/>
      <c r="N241" s="365"/>
      <c r="O241" s="365"/>
      <c r="P241" s="366"/>
      <c r="Q241" s="332">
        <f t="shared" si="52"/>
        <v>100</v>
      </c>
      <c r="R241" s="332"/>
      <c r="Z241" s="333"/>
      <c r="AA241" s="333"/>
      <c r="AB241" s="333"/>
      <c r="AC241" s="333"/>
      <c r="AD241" s="333"/>
      <c r="AE241" s="333"/>
      <c r="AF241" s="333"/>
      <c r="AG241" s="333"/>
      <c r="AH241" s="333"/>
      <c r="AI241" s="333"/>
      <c r="AJ241" s="333"/>
      <c r="AK241" s="333"/>
      <c r="AL241" s="333"/>
      <c r="AM241" s="333"/>
      <c r="AN241" s="333"/>
      <c r="AO241" s="333"/>
    </row>
    <row r="242" spans="1:41" ht="15.75" customHeight="1">
      <c r="A242" s="298" t="s">
        <v>839</v>
      </c>
      <c r="B242" s="327">
        <f>('Pivot Table for Data Exchange'!$O$510)*100</f>
        <v>55.634256298597151</v>
      </c>
      <c r="C242" s="327">
        <f>('Pivot Table for Data Exchange'!$O$513)*100</f>
        <v>14.44490123231216</v>
      </c>
      <c r="D242" s="328">
        <f t="shared" ref="D242" si="61">SUM(E242:G242)</f>
        <v>29.92084246909069</v>
      </c>
      <c r="E242" s="327">
        <f>('Pivot Table for Data Exchange'!$O$516)*100</f>
        <v>27.813178837525633</v>
      </c>
      <c r="F242" s="327">
        <f>('Pivot Table for Data Exchange'!$O$519)*100</f>
        <v>2.1076636315650568</v>
      </c>
      <c r="G242" s="335">
        <f>('Pivot Table for Data Exchange'!$O$522)*100</f>
        <v>0</v>
      </c>
      <c r="H242" s="327">
        <f>('Pivot Table for Data Exchange'!$O$525)*100</f>
        <v>0</v>
      </c>
      <c r="I242" s="365"/>
      <c r="J242" s="365"/>
      <c r="K242" s="365"/>
      <c r="L242" s="365"/>
      <c r="M242" s="365"/>
      <c r="N242" s="365"/>
      <c r="O242" s="365"/>
      <c r="P242" s="366"/>
      <c r="Q242" s="332">
        <f t="shared" si="52"/>
        <v>100</v>
      </c>
      <c r="R242" s="332"/>
      <c r="Z242" s="333"/>
      <c r="AA242" s="333"/>
      <c r="AB242" s="333"/>
      <c r="AC242" s="333"/>
      <c r="AD242" s="333"/>
      <c r="AE242" s="333"/>
      <c r="AF242" s="333"/>
      <c r="AG242" s="333"/>
      <c r="AH242" s="333"/>
      <c r="AI242" s="333"/>
      <c r="AJ242" s="333"/>
      <c r="AK242" s="333"/>
      <c r="AL242" s="333"/>
      <c r="AM242" s="333"/>
      <c r="AN242" s="333"/>
      <c r="AO242" s="333"/>
    </row>
    <row r="243" spans="1:41" ht="15.75" customHeight="1">
      <c r="A243" s="304" t="s">
        <v>840</v>
      </c>
      <c r="B243" s="340">
        <f>('Pivot Table for Data Exchange'!$O$546)*100</f>
        <v>61.471637071208832</v>
      </c>
      <c r="C243" s="340">
        <f>('Pivot Table for Data Exchange'!$O$549)*100</f>
        <v>11.30766165059039</v>
      </c>
      <c r="D243" s="341">
        <f>SUM(E243:G243)</f>
        <v>27.220701278200774</v>
      </c>
      <c r="E243" s="340">
        <f>('Pivot Table for Data Exchange'!$O$552)*100</f>
        <v>25.137861781353948</v>
      </c>
      <c r="F243" s="340">
        <f>('Pivot Table for Data Exchange'!$O$555)*100</f>
        <v>1.4115691887710049</v>
      </c>
      <c r="G243" s="342">
        <f>('Pivot Table for Data Exchange'!$O$558)*100</f>
        <v>0.671270308075822</v>
      </c>
      <c r="H243" s="340">
        <f>('Pivot Table for Data Exchange'!$O$561)*100</f>
        <v>0</v>
      </c>
      <c r="I243" s="365"/>
      <c r="J243" s="365"/>
      <c r="K243" s="365"/>
      <c r="L243" s="365"/>
      <c r="M243" s="365"/>
      <c r="N243" s="365"/>
      <c r="O243" s="365"/>
      <c r="P243" s="366"/>
      <c r="Q243" s="332">
        <f t="shared" si="52"/>
        <v>100</v>
      </c>
      <c r="R243" s="332"/>
      <c r="Z243" s="333"/>
      <c r="AA243" s="333"/>
      <c r="AB243" s="333"/>
      <c r="AC243" s="333"/>
      <c r="AD243" s="333"/>
      <c r="AE243" s="333"/>
      <c r="AF243" s="333"/>
      <c r="AG243" s="333"/>
      <c r="AH243" s="333"/>
      <c r="AI243" s="333"/>
      <c r="AJ243" s="333"/>
      <c r="AK243" s="333"/>
      <c r="AL243" s="333"/>
      <c r="AM243" s="333"/>
      <c r="AN243" s="333"/>
      <c r="AO243" s="333"/>
    </row>
    <row r="244" spans="1:41" s="345" customFormat="1" ht="14.25" customHeight="1">
      <c r="A244" s="346" t="s">
        <v>866</v>
      </c>
      <c r="B244" s="347"/>
      <c r="C244" s="347"/>
      <c r="D244" s="348"/>
      <c r="E244" s="347"/>
      <c r="F244" s="348"/>
      <c r="G244" s="348"/>
      <c r="H244" s="347"/>
      <c r="I244" s="356"/>
      <c r="J244" s="347"/>
      <c r="K244" s="347"/>
      <c r="L244" s="348"/>
      <c r="M244" s="347"/>
      <c r="N244" s="348"/>
      <c r="O244" s="348"/>
      <c r="P244" s="347"/>
      <c r="Q244" s="332">
        <f t="shared" si="52"/>
        <v>0</v>
      </c>
      <c r="R244" s="367"/>
      <c r="S244" s="349"/>
      <c r="T244" s="349"/>
      <c r="U244" s="349"/>
      <c r="V244" s="349"/>
      <c r="W244" s="349"/>
      <c r="X244" s="349"/>
      <c r="Y244" s="349"/>
      <c r="Z244" s="349"/>
      <c r="AA244" s="349"/>
      <c r="AB244" s="349"/>
      <c r="AC244" s="349"/>
      <c r="AD244" s="349"/>
      <c r="AE244" s="349"/>
      <c r="AF244" s="349"/>
      <c r="AG244" s="349"/>
      <c r="AH244" s="349"/>
      <c r="AI244" s="349"/>
      <c r="AJ244" s="349"/>
      <c r="AK244" s="349"/>
      <c r="AL244" s="349"/>
      <c r="AM244" s="349"/>
      <c r="AN244" s="349"/>
      <c r="AO244" s="349"/>
    </row>
    <row r="245" spans="1:41" s="345" customFormat="1" ht="24" customHeight="1">
      <c r="A245" s="455" t="s">
        <v>881</v>
      </c>
      <c r="B245" s="467"/>
      <c r="C245" s="467"/>
      <c r="D245" s="467"/>
      <c r="E245" s="467"/>
      <c r="F245" s="467"/>
      <c r="G245" s="467"/>
      <c r="H245" s="467"/>
      <c r="I245" s="356"/>
      <c r="P245" s="358"/>
      <c r="Q245" s="332">
        <f t="shared" si="52"/>
        <v>0</v>
      </c>
      <c r="R245" s="368"/>
    </row>
    <row r="246" spans="1:41" ht="12" customHeight="1">
      <c r="B246" s="369"/>
      <c r="C246" s="369"/>
      <c r="D246" s="370"/>
      <c r="E246" s="369"/>
      <c r="F246" s="370"/>
      <c r="G246" s="370"/>
      <c r="H246" s="369"/>
      <c r="I246" s="298"/>
      <c r="J246" s="369"/>
      <c r="K246" s="369"/>
      <c r="L246" s="370"/>
      <c r="M246" s="369"/>
      <c r="N246" s="370"/>
      <c r="O246" s="370"/>
      <c r="P246" s="369"/>
      <c r="Q246" s="332">
        <f t="shared" si="52"/>
        <v>0</v>
      </c>
      <c r="R246" s="332"/>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row>
    <row r="247" spans="1:41" s="345" customFormat="1">
      <c r="H247" s="351" t="s">
        <v>980</v>
      </c>
      <c r="Q247" s="332">
        <f t="shared" si="52"/>
        <v>0</v>
      </c>
      <c r="R247" s="371"/>
    </row>
    <row r="248" spans="1:41" ht="18">
      <c r="A248" s="293" t="s">
        <v>882</v>
      </c>
      <c r="B248" s="294"/>
      <c r="C248" s="294"/>
      <c r="D248" s="294"/>
      <c r="E248" s="294"/>
      <c r="F248" s="294"/>
      <c r="G248" s="294"/>
      <c r="H248" s="294"/>
      <c r="Q248" s="332">
        <f t="shared" si="52"/>
        <v>0</v>
      </c>
    </row>
    <row r="249" spans="1:41">
      <c r="A249" s="299"/>
      <c r="B249" s="295"/>
      <c r="C249" s="295"/>
      <c r="D249" s="295"/>
      <c r="E249" s="295"/>
      <c r="F249" s="295"/>
      <c r="G249" s="295"/>
      <c r="H249" s="295"/>
      <c r="Q249" s="332">
        <f t="shared" si="52"/>
        <v>0</v>
      </c>
    </row>
    <row r="250" spans="1:41" ht="15.75">
      <c r="A250" s="301" t="s">
        <v>846</v>
      </c>
      <c r="B250" s="295"/>
      <c r="C250" s="295"/>
      <c r="D250" s="295"/>
      <c r="E250" s="295"/>
      <c r="F250" s="295"/>
      <c r="G250" s="295"/>
      <c r="H250" s="295"/>
      <c r="Q250" s="332">
        <f t="shared" si="52"/>
        <v>0</v>
      </c>
    </row>
    <row r="251" spans="1:41" ht="15.75">
      <c r="A251" s="301" t="s">
        <v>899</v>
      </c>
      <c r="B251" s="295"/>
      <c r="C251" s="295"/>
      <c r="D251" s="295"/>
      <c r="E251" s="295"/>
      <c r="F251" s="295"/>
      <c r="G251" s="295"/>
      <c r="H251" s="295"/>
      <c r="Q251" s="332">
        <f t="shared" si="52"/>
        <v>0</v>
      </c>
    </row>
    <row r="252" spans="1:41">
      <c r="A252" s="304"/>
      <c r="B252" s="305"/>
      <c r="C252" s="305"/>
      <c r="D252" s="305"/>
      <c r="E252" s="305"/>
      <c r="F252" s="305"/>
      <c r="G252" s="305"/>
      <c r="H252" s="305"/>
      <c r="Q252" s="332">
        <f t="shared" si="52"/>
        <v>0</v>
      </c>
    </row>
    <row r="253" spans="1:41">
      <c r="A253" s="309"/>
      <c r="B253" s="310" t="s">
        <v>848</v>
      </c>
      <c r="C253" s="310"/>
      <c r="D253" s="310"/>
      <c r="E253" s="310"/>
      <c r="F253" s="310"/>
      <c r="G253" s="310"/>
      <c r="H253" s="311"/>
      <c r="Q253" s="332">
        <f t="shared" si="52"/>
        <v>0</v>
      </c>
    </row>
    <row r="254" spans="1:41">
      <c r="A254" s="309"/>
      <c r="B254" s="310" t="s">
        <v>849</v>
      </c>
      <c r="C254" s="310"/>
      <c r="D254" s="450" t="s">
        <v>850</v>
      </c>
      <c r="E254" s="448"/>
      <c r="F254" s="448"/>
      <c r="G254" s="448"/>
      <c r="H254" s="317" t="s">
        <v>740</v>
      </c>
      <c r="Q254" s="332">
        <f t="shared" si="52"/>
        <v>0</v>
      </c>
    </row>
    <row r="255" spans="1:41" ht="36">
      <c r="A255" s="309"/>
      <c r="B255" s="318" t="s">
        <v>851</v>
      </c>
      <c r="C255" s="319" t="s">
        <v>852</v>
      </c>
      <c r="D255" s="320" t="s">
        <v>853</v>
      </c>
      <c r="E255" s="321" t="s">
        <v>8</v>
      </c>
      <c r="F255" s="318" t="s">
        <v>854</v>
      </c>
      <c r="G255" s="322" t="s">
        <v>864</v>
      </c>
      <c r="H255" s="323" t="s">
        <v>856</v>
      </c>
      <c r="Q255" s="332">
        <f t="shared" si="52"/>
        <v>0</v>
      </c>
    </row>
    <row r="256" spans="1:41" ht="15.75" customHeight="1">
      <c r="A256" s="353" t="s">
        <v>825</v>
      </c>
      <c r="B256" s="327">
        <f>('Pivot Table for Data Exchange'!$K$6)*100</f>
        <v>0</v>
      </c>
      <c r="C256" s="327">
        <f>('Pivot Table for Data Exchange'!$K$9)*100</f>
        <v>0</v>
      </c>
      <c r="D256" s="328">
        <f>SUM(E256:G256)</f>
        <v>0</v>
      </c>
      <c r="E256" s="327">
        <f>('Pivot Table for Data Exchange'!$K$12)*100</f>
        <v>0</v>
      </c>
      <c r="F256" s="327">
        <f>('Pivot Table for Data Exchange'!$K$15)*100</f>
        <v>0</v>
      </c>
      <c r="G256" s="331">
        <f>('Pivot Table for Data Exchange'!$K$18)*100</f>
        <v>0</v>
      </c>
      <c r="H256" s="327">
        <f>('Pivot Table for Data Exchange'!$K$21)*100</f>
        <v>0</v>
      </c>
      <c r="I256" s="298"/>
      <c r="J256" s="366"/>
      <c r="K256" s="366"/>
      <c r="L256" s="366"/>
      <c r="M256" s="366"/>
      <c r="N256" s="366"/>
      <c r="O256" s="366"/>
      <c r="P256" s="366"/>
      <c r="Q256" s="332">
        <f t="shared" si="52"/>
        <v>0</v>
      </c>
      <c r="R256" s="332"/>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row>
    <row r="257" spans="1:41" ht="15.75" customHeight="1">
      <c r="A257" s="298" t="s">
        <v>826</v>
      </c>
      <c r="B257" s="327">
        <f>('Pivot Table for Data Exchange'!$K$42)*100</f>
        <v>0</v>
      </c>
      <c r="C257" s="327">
        <f>('Pivot Table for Data Exchange'!$K$45)*100</f>
        <v>0</v>
      </c>
      <c r="D257" s="328">
        <f t="shared" ref="D257:D259" si="62">SUM(E257:G257)</f>
        <v>0</v>
      </c>
      <c r="E257" s="327">
        <f>('Pivot Table for Data Exchange'!$K$48)*100</f>
        <v>0</v>
      </c>
      <c r="F257" s="327">
        <f>('Pivot Table for Data Exchange'!$K$51)*100</f>
        <v>0</v>
      </c>
      <c r="G257" s="335">
        <f>('Pivot Table for Data Exchange'!$K$54)*100</f>
        <v>0</v>
      </c>
      <c r="H257" s="327">
        <f>('Pivot Table for Data Exchange'!$K$57)*100</f>
        <v>0</v>
      </c>
      <c r="I257" s="298"/>
      <c r="J257" s="366"/>
      <c r="K257" s="366"/>
      <c r="L257" s="366"/>
      <c r="M257" s="366"/>
      <c r="N257" s="366"/>
      <c r="O257" s="366"/>
      <c r="P257" s="366"/>
      <c r="Q257" s="332">
        <f t="shared" si="52"/>
        <v>0</v>
      </c>
      <c r="R257" s="332"/>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row>
    <row r="258" spans="1:41" ht="15.75" customHeight="1">
      <c r="A258" s="298" t="s">
        <v>827</v>
      </c>
      <c r="B258" s="327">
        <f>('Pivot Table for Data Exchange'!$K$78)*100</f>
        <v>0</v>
      </c>
      <c r="C258" s="327">
        <f>('Pivot Table for Data Exchange'!$K$81)*100</f>
        <v>0</v>
      </c>
      <c r="D258" s="328">
        <f t="shared" si="62"/>
        <v>0</v>
      </c>
      <c r="E258" s="327">
        <f>('Pivot Table for Data Exchange'!$K$84)*100</f>
        <v>0</v>
      </c>
      <c r="F258" s="327">
        <f>('Pivot Table for Data Exchange'!$K$87)*100</f>
        <v>0</v>
      </c>
      <c r="G258" s="335">
        <f>('Pivot Table for Data Exchange'!$K$90)*100</f>
        <v>0</v>
      </c>
      <c r="H258" s="327">
        <f>('Pivot Table for Data Exchange'!$K$93)*100</f>
        <v>0</v>
      </c>
      <c r="I258" s="298"/>
      <c r="J258" s="366"/>
      <c r="K258" s="366"/>
      <c r="L258" s="366"/>
      <c r="M258" s="366"/>
      <c r="N258" s="366"/>
      <c r="O258" s="366"/>
      <c r="P258" s="366"/>
      <c r="Q258" s="332">
        <f t="shared" si="52"/>
        <v>0</v>
      </c>
      <c r="R258" s="332"/>
      <c r="S258" s="333"/>
      <c r="T258" s="307"/>
      <c r="U258" s="333"/>
      <c r="V258" s="333"/>
      <c r="W258" s="333"/>
      <c r="X258" s="333"/>
      <c r="Y258" s="333"/>
      <c r="Z258" s="333"/>
      <c r="AA258" s="333"/>
      <c r="AB258" s="333"/>
      <c r="AC258" s="333"/>
      <c r="AD258" s="333"/>
      <c r="AE258" s="333"/>
      <c r="AF258" s="333"/>
      <c r="AG258" s="333"/>
      <c r="AH258" s="333"/>
      <c r="AI258" s="333"/>
      <c r="AJ258" s="333"/>
      <c r="AK258" s="333"/>
      <c r="AL258" s="333"/>
      <c r="AM258" s="333"/>
      <c r="AN258" s="333"/>
      <c r="AO258" s="333"/>
    </row>
    <row r="259" spans="1:41" ht="15.75" customHeight="1">
      <c r="A259" s="298" t="s">
        <v>865</v>
      </c>
      <c r="B259" s="327">
        <f>('Pivot Table for Data Exchange'!$K$114)*100</f>
        <v>70.124270248340821</v>
      </c>
      <c r="C259" s="327">
        <f>('Pivot Table for Data Exchange'!$K$117)*100</f>
        <v>3.5257835439813721</v>
      </c>
      <c r="D259" s="328">
        <f t="shared" si="62"/>
        <v>26.310229015515279</v>
      </c>
      <c r="E259" s="327">
        <f>('Pivot Table for Data Exchange'!$K$120)*100</f>
        <v>26.251395946070339</v>
      </c>
      <c r="F259" s="327">
        <f>('Pivot Table for Data Exchange'!$K$123)*100</f>
        <v>1.1359944907311129E-2</v>
      </c>
      <c r="G259" s="335">
        <f>('Pivot Table for Data Exchange'!$K$126)*100</f>
        <v>4.7473124537627108E-2</v>
      </c>
      <c r="H259" s="327">
        <f>('Pivot Table for Data Exchange'!$K$129)*100</f>
        <v>3.9717192162539022E-2</v>
      </c>
      <c r="I259" s="298"/>
      <c r="J259" s="366"/>
      <c r="K259" s="366"/>
      <c r="L259" s="366"/>
      <c r="M259" s="366"/>
      <c r="N259" s="366"/>
      <c r="O259" s="366"/>
      <c r="P259" s="366"/>
      <c r="Q259" s="332">
        <f t="shared" si="52"/>
        <v>100.00000000000001</v>
      </c>
      <c r="R259" s="332"/>
      <c r="S259" s="333"/>
      <c r="U259" s="333"/>
      <c r="V259" s="333"/>
      <c r="W259" s="333"/>
      <c r="X259" s="333"/>
      <c r="Y259" s="333"/>
      <c r="Z259" s="333"/>
      <c r="AA259" s="333"/>
      <c r="AB259" s="333"/>
      <c r="AC259" s="333"/>
      <c r="AD259" s="333"/>
      <c r="AE259" s="333"/>
      <c r="AF259" s="333"/>
      <c r="AG259" s="333"/>
      <c r="AH259" s="333"/>
      <c r="AI259" s="333"/>
      <c r="AJ259" s="333"/>
      <c r="AK259" s="333"/>
      <c r="AL259" s="333"/>
      <c r="AM259" s="333"/>
      <c r="AN259" s="333"/>
      <c r="AO259" s="333"/>
    </row>
    <row r="260" spans="1:41" ht="15.75" customHeight="1">
      <c r="B260" s="327"/>
      <c r="C260" s="327"/>
      <c r="D260" s="328"/>
      <c r="E260" s="327"/>
      <c r="F260" s="327"/>
      <c r="G260" s="335"/>
      <c r="H260" s="327"/>
      <c r="I260" s="298"/>
      <c r="J260" s="366"/>
      <c r="K260" s="366"/>
      <c r="L260" s="366"/>
      <c r="M260" s="366"/>
      <c r="N260" s="366"/>
      <c r="O260" s="366"/>
      <c r="P260" s="366"/>
      <c r="Q260" s="332">
        <f t="shared" si="52"/>
        <v>0</v>
      </c>
      <c r="R260" s="332"/>
      <c r="S260" s="333"/>
      <c r="U260" s="333"/>
      <c r="V260" s="333"/>
      <c r="W260" s="333"/>
      <c r="X260" s="333"/>
      <c r="Y260" s="333"/>
      <c r="Z260" s="333"/>
      <c r="AA260" s="333"/>
      <c r="AB260" s="333"/>
      <c r="AC260" s="333"/>
      <c r="AD260" s="333"/>
      <c r="AE260" s="333"/>
      <c r="AF260" s="333"/>
      <c r="AG260" s="333"/>
      <c r="AH260" s="333"/>
      <c r="AI260" s="333"/>
      <c r="AJ260" s="333"/>
      <c r="AK260" s="333"/>
      <c r="AL260" s="333"/>
      <c r="AM260" s="333"/>
      <c r="AN260" s="333"/>
      <c r="AO260" s="333"/>
    </row>
    <row r="261" spans="1:41" ht="15.75" customHeight="1">
      <c r="A261" s="298" t="s">
        <v>829</v>
      </c>
      <c r="B261" s="327">
        <f>('Pivot Table for Data Exchange'!$K$150)*100</f>
        <v>66.901538548037962</v>
      </c>
      <c r="C261" s="327">
        <f>('Pivot Table for Data Exchange'!$K$153)*100</f>
        <v>13.816410375861945</v>
      </c>
      <c r="D261" s="328">
        <f t="shared" ref="D261:D264" si="63">SUM(E261:G261)</f>
        <v>19.282051076100096</v>
      </c>
      <c r="E261" s="327">
        <f>('Pivot Table for Data Exchange'!$K$156)*100</f>
        <v>18.026232826374191</v>
      </c>
      <c r="F261" s="327">
        <f>('Pivot Table for Data Exchange'!$K$159)*100</f>
        <v>0</v>
      </c>
      <c r="G261" s="335">
        <f>('Pivot Table for Data Exchange'!$K$162)*100</f>
        <v>1.2558182497259047</v>
      </c>
      <c r="H261" s="327">
        <f>('Pivot Table for Data Exchange'!$K$165)*100</f>
        <v>0</v>
      </c>
      <c r="I261" s="298"/>
      <c r="J261" s="366"/>
      <c r="K261" s="366"/>
      <c r="L261" s="366"/>
      <c r="M261" s="366"/>
      <c r="N261" s="366"/>
      <c r="O261" s="366"/>
      <c r="P261" s="366"/>
      <c r="Q261" s="332">
        <f t="shared" si="52"/>
        <v>100</v>
      </c>
      <c r="R261" s="332"/>
      <c r="S261" s="333"/>
      <c r="T261" s="333"/>
      <c r="U261" s="333"/>
      <c r="V261" s="333"/>
      <c r="W261" s="333"/>
      <c r="X261" s="333"/>
      <c r="Y261" s="333"/>
      <c r="Z261" s="333"/>
      <c r="AA261" s="333"/>
      <c r="AB261" s="333"/>
      <c r="AC261" s="333"/>
      <c r="AD261" s="333"/>
      <c r="AE261" s="333"/>
      <c r="AF261" s="333"/>
      <c r="AG261" s="333"/>
      <c r="AH261" s="333"/>
      <c r="AI261" s="333"/>
      <c r="AJ261" s="333"/>
      <c r="AK261" s="333"/>
      <c r="AL261" s="333"/>
      <c r="AM261" s="333"/>
      <c r="AN261" s="333"/>
      <c r="AO261" s="333"/>
    </row>
    <row r="262" spans="1:41" ht="15.75" customHeight="1">
      <c r="A262" s="298" t="s">
        <v>830</v>
      </c>
      <c r="B262" s="327">
        <f>('Pivot Table for Data Exchange'!$K$186)*100</f>
        <v>0</v>
      </c>
      <c r="C262" s="327">
        <f>('Pivot Table for Data Exchange'!$K$189)*100</f>
        <v>0</v>
      </c>
      <c r="D262" s="328">
        <f t="shared" si="63"/>
        <v>0</v>
      </c>
      <c r="E262" s="327">
        <f>('Pivot Table for Data Exchange'!$K$192)*100</f>
        <v>0</v>
      </c>
      <c r="F262" s="327">
        <f>('Pivot Table for Data Exchange'!$K$195)*100</f>
        <v>0</v>
      </c>
      <c r="G262" s="335">
        <f>('Pivot Table for Data Exchange'!$K$198)*100</f>
        <v>0</v>
      </c>
      <c r="H262" s="327">
        <f>('Pivot Table for Data Exchange'!$K$201)*100</f>
        <v>0</v>
      </c>
      <c r="I262" s="298"/>
      <c r="J262" s="366"/>
      <c r="K262" s="366"/>
      <c r="L262" s="366"/>
      <c r="M262" s="366"/>
      <c r="N262" s="366"/>
      <c r="O262" s="366"/>
      <c r="P262" s="366"/>
      <c r="Q262" s="332">
        <f t="shared" si="52"/>
        <v>0</v>
      </c>
      <c r="R262" s="332"/>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row>
    <row r="263" spans="1:41" ht="15.75" customHeight="1">
      <c r="A263" s="298" t="s">
        <v>831</v>
      </c>
      <c r="B263" s="327">
        <f>('Pivot Table for Data Exchange'!$K$222)*100</f>
        <v>0</v>
      </c>
      <c r="C263" s="327">
        <f>('Pivot Table for Data Exchange'!$K$225)*100</f>
        <v>0</v>
      </c>
      <c r="D263" s="328">
        <f t="shared" si="63"/>
        <v>0</v>
      </c>
      <c r="E263" s="327">
        <f>('Pivot Table for Data Exchange'!$K$228)*100</f>
        <v>0</v>
      </c>
      <c r="F263" s="327">
        <f>('Pivot Table for Data Exchange'!$K$231)*100</f>
        <v>0</v>
      </c>
      <c r="G263" s="335">
        <f>('Pivot Table for Data Exchange'!$K$234)*100</f>
        <v>0</v>
      </c>
      <c r="H263" s="327">
        <f>('Pivot Table for Data Exchange'!$K$237)*100</f>
        <v>0</v>
      </c>
      <c r="I263" s="298"/>
      <c r="J263" s="366"/>
      <c r="K263" s="366"/>
      <c r="L263" s="366"/>
      <c r="M263" s="366"/>
      <c r="N263" s="366"/>
      <c r="O263" s="366"/>
      <c r="P263" s="366"/>
      <c r="Q263" s="332">
        <f t="shared" si="52"/>
        <v>0</v>
      </c>
      <c r="R263" s="332"/>
      <c r="S263" s="333"/>
      <c r="T263" s="307"/>
      <c r="U263" s="333"/>
      <c r="V263" s="333"/>
      <c r="W263" s="333"/>
      <c r="X263" s="333"/>
      <c r="Y263" s="333"/>
      <c r="Z263" s="333"/>
      <c r="AA263" s="333"/>
      <c r="AB263" s="333"/>
      <c r="AC263" s="333"/>
      <c r="AD263" s="333"/>
      <c r="AE263" s="333"/>
      <c r="AF263" s="333"/>
      <c r="AG263" s="333"/>
      <c r="AH263" s="333"/>
      <c r="AI263" s="333"/>
      <c r="AJ263" s="333"/>
      <c r="AK263" s="333"/>
      <c r="AL263" s="333"/>
      <c r="AM263" s="333"/>
      <c r="AN263" s="333"/>
      <c r="AO263" s="333"/>
    </row>
    <row r="264" spans="1:41" ht="15.75" customHeight="1">
      <c r="A264" s="298" t="s">
        <v>832</v>
      </c>
      <c r="B264" s="327">
        <f>('Pivot Table for Data Exchange'!$K$258)*100</f>
        <v>0</v>
      </c>
      <c r="C264" s="327">
        <f>('Pivot Table for Data Exchange'!$K$261)*100</f>
        <v>0</v>
      </c>
      <c r="D264" s="328">
        <f t="shared" si="63"/>
        <v>0</v>
      </c>
      <c r="E264" s="327">
        <f>('Pivot Table for Data Exchange'!$K$264)*100</f>
        <v>0</v>
      </c>
      <c r="F264" s="327">
        <f>('Pivot Table for Data Exchange'!$K$267)*100</f>
        <v>0</v>
      </c>
      <c r="G264" s="335">
        <f>('Pivot Table for Data Exchange'!$K$270)*100</f>
        <v>0</v>
      </c>
      <c r="H264" s="327">
        <f>('Pivot Table for Data Exchange'!$K$273)*100</f>
        <v>0</v>
      </c>
      <c r="I264" s="298"/>
      <c r="J264" s="366"/>
      <c r="K264" s="366"/>
      <c r="L264" s="366"/>
      <c r="M264" s="366"/>
      <c r="N264" s="366"/>
      <c r="O264" s="366"/>
      <c r="P264" s="366"/>
      <c r="Q264" s="332">
        <f t="shared" si="52"/>
        <v>0</v>
      </c>
      <c r="R264" s="332"/>
      <c r="S264" s="333"/>
      <c r="U264" s="333"/>
      <c r="V264" s="333"/>
      <c r="W264" s="333"/>
      <c r="X264" s="333"/>
      <c r="Y264" s="333"/>
      <c r="Z264" s="333"/>
      <c r="AA264" s="333"/>
      <c r="AB264" s="333"/>
      <c r="AC264" s="333"/>
      <c r="AD264" s="333"/>
      <c r="AE264" s="333"/>
      <c r="AF264" s="333"/>
      <c r="AG264" s="333"/>
      <c r="AH264" s="333"/>
      <c r="AI264" s="333"/>
      <c r="AJ264" s="333"/>
      <c r="AK264" s="333"/>
      <c r="AL264" s="333"/>
      <c r="AM264" s="333"/>
      <c r="AN264" s="333"/>
      <c r="AO264" s="333"/>
    </row>
    <row r="265" spans="1:41" ht="15.75" customHeight="1">
      <c r="B265" s="327"/>
      <c r="C265" s="327"/>
      <c r="D265" s="328"/>
      <c r="E265" s="327"/>
      <c r="F265" s="327"/>
      <c r="G265" s="335"/>
      <c r="H265" s="327"/>
      <c r="I265" s="298"/>
      <c r="J265" s="366"/>
      <c r="K265" s="366"/>
      <c r="L265" s="366"/>
      <c r="M265" s="366"/>
      <c r="N265" s="366"/>
      <c r="O265" s="366"/>
      <c r="P265" s="366"/>
      <c r="Q265" s="332">
        <f t="shared" si="52"/>
        <v>0</v>
      </c>
      <c r="R265" s="332"/>
      <c r="S265" s="333"/>
      <c r="U265" s="333"/>
      <c r="V265" s="333"/>
      <c r="W265" s="333"/>
      <c r="X265" s="333"/>
      <c r="Y265" s="333"/>
      <c r="Z265" s="333"/>
      <c r="AA265" s="333"/>
      <c r="AB265" s="333"/>
      <c r="AC265" s="333"/>
      <c r="AD265" s="333"/>
      <c r="AE265" s="333"/>
      <c r="AF265" s="333"/>
      <c r="AG265" s="333"/>
      <c r="AH265" s="333"/>
      <c r="AI265" s="333"/>
      <c r="AJ265" s="333"/>
      <c r="AK265" s="333"/>
      <c r="AL265" s="333"/>
      <c r="AM265" s="333"/>
      <c r="AN265" s="333"/>
      <c r="AO265" s="333"/>
    </row>
    <row r="266" spans="1:41" ht="15.75" customHeight="1">
      <c r="A266" s="298" t="s">
        <v>833</v>
      </c>
      <c r="B266" s="327">
        <f>('Pivot Table for Data Exchange'!$K$294)*100</f>
        <v>0</v>
      </c>
      <c r="C266" s="327">
        <f>('Pivot Table for Data Exchange'!$K$297)*100</f>
        <v>0</v>
      </c>
      <c r="D266" s="328">
        <f t="shared" ref="D266:D268" si="64">SUM(E266:G266)</f>
        <v>0</v>
      </c>
      <c r="E266" s="327">
        <f>('Pivot Table for Data Exchange'!$K$300)*100</f>
        <v>0</v>
      </c>
      <c r="F266" s="327">
        <f>('Pivot Table for Data Exchange'!$K$303)*100</f>
        <v>0</v>
      </c>
      <c r="G266" s="335">
        <f>('Pivot Table for Data Exchange'!$K$306)*100</f>
        <v>0</v>
      </c>
      <c r="H266" s="327">
        <f>('Pivot Table for Data Exchange'!$K$309)*100</f>
        <v>0</v>
      </c>
      <c r="I266" s="298"/>
      <c r="J266" s="366"/>
      <c r="K266" s="366"/>
      <c r="L266" s="366"/>
      <c r="M266" s="366"/>
      <c r="N266" s="366"/>
      <c r="O266" s="366"/>
      <c r="P266" s="366"/>
      <c r="Q266" s="332">
        <f t="shared" si="52"/>
        <v>0</v>
      </c>
      <c r="R266" s="332"/>
      <c r="S266" s="333"/>
      <c r="T266" s="333"/>
      <c r="U266" s="333"/>
      <c r="V266" s="333"/>
      <c r="W266" s="333"/>
      <c r="X266" s="333"/>
      <c r="Y266" s="333"/>
      <c r="Z266" s="333"/>
      <c r="AA266" s="333"/>
      <c r="AB266" s="333"/>
      <c r="AC266" s="333"/>
      <c r="AD266" s="333"/>
      <c r="AE266" s="333"/>
      <c r="AF266" s="333"/>
      <c r="AG266" s="333"/>
      <c r="AH266" s="333"/>
      <c r="AI266" s="333"/>
      <c r="AJ266" s="333"/>
      <c r="AK266" s="333"/>
      <c r="AL266" s="333"/>
      <c r="AM266" s="333"/>
      <c r="AN266" s="333"/>
      <c r="AO266" s="333"/>
    </row>
    <row r="267" spans="1:41" ht="15.75" customHeight="1">
      <c r="A267" s="298" t="s">
        <v>834</v>
      </c>
      <c r="B267" s="327">
        <f>('Pivot Table for Data Exchange'!$K$330)*100</f>
        <v>0</v>
      </c>
      <c r="C267" s="327">
        <f>('Pivot Table for Data Exchange'!$K$333)*100</f>
        <v>0</v>
      </c>
      <c r="D267" s="328">
        <f t="shared" si="64"/>
        <v>0</v>
      </c>
      <c r="E267" s="327">
        <f>('Pivot Table for Data Exchange'!$K$336)*100</f>
        <v>0</v>
      </c>
      <c r="F267" s="327">
        <f>('Pivot Table for Data Exchange'!$K$339)*100</f>
        <v>0</v>
      </c>
      <c r="G267" s="335">
        <f>('Pivot Table for Data Exchange'!$K$342)*100</f>
        <v>0</v>
      </c>
      <c r="H267" s="327">
        <f>('Pivot Table for Data Exchange'!$K$345)*100</f>
        <v>0</v>
      </c>
      <c r="I267" s="298"/>
      <c r="J267" s="366"/>
      <c r="K267" s="366"/>
      <c r="L267" s="366"/>
      <c r="M267" s="366"/>
      <c r="N267" s="366"/>
      <c r="O267" s="366"/>
      <c r="P267" s="366"/>
      <c r="Q267" s="332">
        <f t="shared" ref="Q267:Q330" si="65">SUM(B267,C267,D267,H267)</f>
        <v>0</v>
      </c>
      <c r="R267" s="332"/>
      <c r="S267" s="333"/>
      <c r="T267" s="333"/>
      <c r="U267" s="333"/>
      <c r="V267" s="333"/>
      <c r="W267" s="333"/>
      <c r="X267" s="333"/>
      <c r="Y267" s="333"/>
      <c r="Z267" s="333"/>
      <c r="AA267" s="333"/>
      <c r="AB267" s="333"/>
      <c r="AC267" s="333"/>
      <c r="AD267" s="333"/>
      <c r="AE267" s="333"/>
      <c r="AF267" s="333"/>
      <c r="AG267" s="333"/>
      <c r="AH267" s="333"/>
      <c r="AI267" s="333"/>
      <c r="AJ267" s="333"/>
      <c r="AK267" s="333"/>
      <c r="AL267" s="333"/>
      <c r="AM267" s="333"/>
      <c r="AN267" s="333"/>
      <c r="AO267" s="333"/>
    </row>
    <row r="268" spans="1:41" ht="15.75" customHeight="1">
      <c r="A268" s="298" t="s">
        <v>835</v>
      </c>
      <c r="B268" s="327">
        <f>('Pivot Table for Data Exchange'!$K$366)*100</f>
        <v>64.90327559008972</v>
      </c>
      <c r="C268" s="327">
        <f>('Pivot Table for Data Exchange'!$K$369)*100</f>
        <v>4.8838379151872708E-3</v>
      </c>
      <c r="D268" s="328">
        <f t="shared" si="64"/>
        <v>35.091840571995093</v>
      </c>
      <c r="E268" s="327">
        <f>('Pivot Table for Data Exchange'!$K$372)*100</f>
        <v>33.706295755456466</v>
      </c>
      <c r="F268" s="327">
        <f>('Pivot Table for Data Exchange'!$K$375)*100</f>
        <v>0</v>
      </c>
      <c r="G268" s="335">
        <f>('Pivot Table for Data Exchange'!$K$378)*100</f>
        <v>1.3855448165386288</v>
      </c>
      <c r="H268" s="327">
        <f>('Pivot Table for Data Exchange'!$K$381)*100</f>
        <v>0</v>
      </c>
      <c r="I268" s="298"/>
      <c r="J268" s="366"/>
      <c r="K268" s="366"/>
      <c r="L268" s="366"/>
      <c r="M268" s="366"/>
      <c r="N268" s="366"/>
      <c r="O268" s="366"/>
      <c r="P268" s="366"/>
      <c r="Q268" s="332">
        <f t="shared" si="65"/>
        <v>100</v>
      </c>
      <c r="R268" s="332"/>
      <c r="S268" s="333"/>
      <c r="T268" s="307"/>
      <c r="U268" s="333"/>
      <c r="V268" s="333"/>
      <c r="W268" s="333"/>
      <c r="X268" s="333"/>
      <c r="Y268" s="333"/>
      <c r="Z268" s="333"/>
      <c r="AA268" s="333"/>
      <c r="AB268" s="333"/>
      <c r="AC268" s="333"/>
      <c r="AD268" s="333"/>
      <c r="AE268" s="333"/>
      <c r="AF268" s="333"/>
      <c r="AG268" s="333"/>
      <c r="AH268" s="333"/>
      <c r="AI268" s="333"/>
      <c r="AJ268" s="333"/>
      <c r="AK268" s="333"/>
      <c r="AL268" s="333"/>
      <c r="AM268" s="333"/>
      <c r="AN268" s="333"/>
      <c r="AO268" s="333"/>
    </row>
    <row r="269" spans="1:41" ht="15.75" customHeight="1">
      <c r="A269" s="298" t="s">
        <v>836</v>
      </c>
      <c r="B269" s="327">
        <f>('Pivot Table for Data Exchange'!$K$402)*100</f>
        <v>0</v>
      </c>
      <c r="C269" s="327">
        <f>('Pivot Table for Data Exchange'!$K$405)*100</f>
        <v>0</v>
      </c>
      <c r="D269" s="328">
        <f>SUM(E269:G269)</f>
        <v>0</v>
      </c>
      <c r="E269" s="327">
        <f>('Pivot Table for Data Exchange'!$K$408)*100</f>
        <v>0</v>
      </c>
      <c r="F269" s="327">
        <f>('Pivot Table for Data Exchange'!$K$411)*100</f>
        <v>0</v>
      </c>
      <c r="G269" s="335">
        <f>('Pivot Table for Data Exchange'!$K$414)*100</f>
        <v>0</v>
      </c>
      <c r="H269" s="327">
        <f>('Pivot Table for Data Exchange'!$K$417)*100</f>
        <v>0</v>
      </c>
      <c r="I269" s="298"/>
      <c r="J269" s="366"/>
      <c r="K269" s="366"/>
      <c r="L269" s="366"/>
      <c r="M269" s="366"/>
      <c r="N269" s="366"/>
      <c r="O269" s="366"/>
      <c r="P269" s="366"/>
      <c r="Q269" s="332">
        <f t="shared" si="65"/>
        <v>0</v>
      </c>
      <c r="R269" s="332"/>
      <c r="S269" s="333"/>
      <c r="T269" s="333"/>
      <c r="U269" s="333"/>
      <c r="V269" s="333"/>
      <c r="W269" s="333"/>
      <c r="X269" s="333"/>
      <c r="Y269" s="333"/>
      <c r="Z269" s="333"/>
      <c r="AA269" s="333"/>
      <c r="AB269" s="333"/>
      <c r="AC269" s="333"/>
      <c r="AD269" s="333"/>
      <c r="AE269" s="333"/>
      <c r="AF269" s="333"/>
      <c r="AG269" s="333"/>
      <c r="AH269" s="333"/>
      <c r="AI269" s="333"/>
      <c r="AJ269" s="333"/>
      <c r="AK269" s="333"/>
      <c r="AL269" s="333"/>
      <c r="AM269" s="333"/>
      <c r="AN269" s="333"/>
      <c r="AO269" s="333"/>
    </row>
    <row r="270" spans="1:41" ht="15.75" customHeight="1">
      <c r="B270" s="327"/>
      <c r="C270" s="327"/>
      <c r="D270" s="328"/>
      <c r="E270" s="327"/>
      <c r="F270" s="327"/>
      <c r="G270" s="335"/>
      <c r="H270" s="327"/>
      <c r="I270" s="298"/>
      <c r="J270" s="366"/>
      <c r="K270" s="366"/>
      <c r="L270" s="366"/>
      <c r="M270" s="366"/>
      <c r="N270" s="366"/>
      <c r="O270" s="366"/>
      <c r="P270" s="366"/>
      <c r="Q270" s="332">
        <f t="shared" si="65"/>
        <v>0</v>
      </c>
      <c r="R270" s="332"/>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row>
    <row r="271" spans="1:41" ht="15.75" customHeight="1">
      <c r="A271" s="298" t="s">
        <v>837</v>
      </c>
      <c r="B271" s="327">
        <f>('Pivot Table for Data Exchange'!$K$438)*100</f>
        <v>0</v>
      </c>
      <c r="C271" s="327">
        <f>('Pivot Table for Data Exchange'!$K$441)*100</f>
        <v>0</v>
      </c>
      <c r="D271" s="328">
        <f>SUM(E271:G271)</f>
        <v>0</v>
      </c>
      <c r="E271" s="327">
        <f>('Pivot Table for Data Exchange'!$K$444)*100</f>
        <v>0</v>
      </c>
      <c r="F271" s="327">
        <f>('Pivot Table for Data Exchange'!$K$447)*100</f>
        <v>0</v>
      </c>
      <c r="G271" s="335">
        <f>('Pivot Table for Data Exchange'!$K$450)*100</f>
        <v>0</v>
      </c>
      <c r="H271" s="327">
        <f>('Pivot Table for Data Exchange'!$K$453)*100</f>
        <v>0</v>
      </c>
      <c r="I271" s="298"/>
      <c r="J271" s="366"/>
      <c r="K271" s="366"/>
      <c r="L271" s="366"/>
      <c r="M271" s="366"/>
      <c r="N271" s="366"/>
      <c r="O271" s="366"/>
      <c r="P271" s="366"/>
      <c r="Q271" s="332">
        <f t="shared" si="65"/>
        <v>0</v>
      </c>
      <c r="R271" s="332"/>
      <c r="S271" s="333"/>
      <c r="T271" s="333"/>
      <c r="U271" s="333"/>
      <c r="V271" s="333"/>
      <c r="W271" s="333"/>
      <c r="X271" s="333"/>
      <c r="Y271" s="333"/>
      <c r="Z271" s="333"/>
      <c r="AA271" s="333"/>
      <c r="AB271" s="333"/>
      <c r="AC271" s="333"/>
      <c r="AD271" s="333"/>
      <c r="AE271" s="333"/>
      <c r="AF271" s="333"/>
      <c r="AG271" s="333"/>
      <c r="AH271" s="333"/>
      <c r="AI271" s="333"/>
      <c r="AJ271" s="333"/>
      <c r="AK271" s="333"/>
      <c r="AL271" s="333"/>
      <c r="AM271" s="333"/>
      <c r="AN271" s="333"/>
      <c r="AO271" s="333"/>
    </row>
    <row r="272" spans="1:41" ht="15.75" customHeight="1">
      <c r="A272" s="298" t="s">
        <v>838</v>
      </c>
      <c r="B272" s="327">
        <f>('Pivot Table for Data Exchange'!$K$474)*100</f>
        <v>73.658789583980607</v>
      </c>
      <c r="C272" s="327">
        <f>('Pivot Table for Data Exchange'!$K$477)*100</f>
        <v>1.8015252435104119</v>
      </c>
      <c r="D272" s="328">
        <f>SUM(E272:G272)</f>
        <v>24.539685172508978</v>
      </c>
      <c r="E272" s="327">
        <f>('Pivot Table for Data Exchange'!$K$480)*100</f>
        <v>23.426636183252029</v>
      </c>
      <c r="F272" s="327">
        <f>('Pivot Table for Data Exchange'!$K$483)*100</f>
        <v>6.300510848885528E-2</v>
      </c>
      <c r="G272" s="338">
        <f>('Pivot Table for Data Exchange'!$K$486)*100</f>
        <v>1.050043880768093</v>
      </c>
      <c r="H272" s="327">
        <f>('Pivot Table for Data Exchange'!$K$489)*100</f>
        <v>0</v>
      </c>
      <c r="I272" s="298"/>
      <c r="J272" s="366"/>
      <c r="K272" s="366"/>
      <c r="L272" s="366"/>
      <c r="M272" s="366"/>
      <c r="N272" s="366"/>
      <c r="O272" s="366"/>
      <c r="P272" s="366"/>
      <c r="Q272" s="332">
        <f t="shared" si="65"/>
        <v>100</v>
      </c>
      <c r="R272" s="332"/>
      <c r="S272" s="333"/>
      <c r="T272" s="333"/>
      <c r="U272" s="333"/>
      <c r="V272" s="333"/>
      <c r="W272" s="333"/>
      <c r="X272" s="333"/>
      <c r="Y272" s="333"/>
      <c r="Z272" s="333"/>
      <c r="AA272" s="333"/>
      <c r="AB272" s="333"/>
      <c r="AC272" s="333"/>
      <c r="AD272" s="333"/>
      <c r="AE272" s="333"/>
      <c r="AF272" s="333"/>
      <c r="AG272" s="333"/>
      <c r="AH272" s="333"/>
      <c r="AI272" s="333"/>
      <c r="AJ272" s="333"/>
      <c r="AK272" s="333"/>
      <c r="AL272" s="333"/>
      <c r="AM272" s="333"/>
      <c r="AN272" s="333"/>
      <c r="AO272" s="333"/>
    </row>
    <row r="273" spans="1:41" ht="15.75" customHeight="1">
      <c r="A273" s="298" t="s">
        <v>839</v>
      </c>
      <c r="B273" s="327">
        <f>('Pivot Table for Data Exchange'!$K$510)*100</f>
        <v>0</v>
      </c>
      <c r="C273" s="327">
        <f>('Pivot Table for Data Exchange'!$K$513)*100</f>
        <v>0</v>
      </c>
      <c r="D273" s="328">
        <f t="shared" ref="D273" si="66">SUM(E273:G273)</f>
        <v>0</v>
      </c>
      <c r="E273" s="327">
        <f>('Pivot Table for Data Exchange'!$K$516)*100</f>
        <v>0</v>
      </c>
      <c r="F273" s="327">
        <f>('Pivot Table for Data Exchange'!$K$519)*100</f>
        <v>0</v>
      </c>
      <c r="G273" s="335">
        <f>('Pivot Table for Data Exchange'!$K$522)*100</f>
        <v>0</v>
      </c>
      <c r="H273" s="327">
        <f>('Pivot Table for Data Exchange'!$K$525)*100</f>
        <v>0</v>
      </c>
      <c r="I273" s="298"/>
      <c r="J273" s="366"/>
      <c r="K273" s="366"/>
      <c r="L273" s="366"/>
      <c r="M273" s="366"/>
      <c r="N273" s="366"/>
      <c r="O273" s="366"/>
      <c r="P273" s="366"/>
      <c r="Q273" s="332">
        <f t="shared" si="65"/>
        <v>0</v>
      </c>
      <c r="R273" s="332"/>
      <c r="S273" s="333"/>
      <c r="T273" s="333"/>
      <c r="U273" s="333"/>
      <c r="V273" s="333"/>
      <c r="W273" s="333"/>
      <c r="X273" s="333"/>
      <c r="Y273" s="333"/>
      <c r="Z273" s="333"/>
      <c r="AA273" s="333"/>
      <c r="AB273" s="333"/>
      <c r="AC273" s="333"/>
      <c r="AD273" s="333"/>
      <c r="AE273" s="333"/>
      <c r="AF273" s="333"/>
      <c r="AG273" s="333"/>
      <c r="AH273" s="333"/>
      <c r="AI273" s="333"/>
      <c r="AJ273" s="333"/>
      <c r="AK273" s="333"/>
      <c r="AL273" s="333"/>
      <c r="AM273" s="333"/>
      <c r="AN273" s="333"/>
      <c r="AO273" s="333"/>
    </row>
    <row r="274" spans="1:41" ht="15.75" customHeight="1">
      <c r="A274" s="304" t="s">
        <v>840</v>
      </c>
      <c r="B274" s="340">
        <f>('Pivot Table for Data Exchange'!$K$546)*100</f>
        <v>68.210648757791233</v>
      </c>
      <c r="C274" s="340">
        <f>('Pivot Table for Data Exchange'!$K$549)*100</f>
        <v>6.5128171363357037</v>
      </c>
      <c r="D274" s="341">
        <f>SUM(E274:G274)</f>
        <v>25.276534105873058</v>
      </c>
      <c r="E274" s="340">
        <f>('Pivot Table for Data Exchange'!$K$552)*100</f>
        <v>22.448643666052146</v>
      </c>
      <c r="F274" s="340">
        <f>('Pivot Table for Data Exchange'!$K$555)*100</f>
        <v>0</v>
      </c>
      <c r="G274" s="342">
        <f>('Pivot Table for Data Exchange'!$K$558)*100</f>
        <v>2.8278904398209113</v>
      </c>
      <c r="H274" s="340">
        <f>('Pivot Table for Data Exchange'!$K$561)*100</f>
        <v>0</v>
      </c>
      <c r="I274" s="298"/>
      <c r="J274" s="366"/>
      <c r="K274" s="366"/>
      <c r="L274" s="366"/>
      <c r="M274" s="366"/>
      <c r="N274" s="366"/>
      <c r="O274" s="366"/>
      <c r="P274" s="366"/>
      <c r="Q274" s="332">
        <f t="shared" si="65"/>
        <v>99.999999999999986</v>
      </c>
      <c r="R274" s="332"/>
      <c r="S274" s="333"/>
      <c r="T274" s="333"/>
      <c r="U274" s="333"/>
      <c r="V274" s="333"/>
      <c r="W274" s="333"/>
      <c r="X274" s="333"/>
      <c r="Y274" s="333"/>
      <c r="Z274" s="333"/>
      <c r="AA274" s="333"/>
      <c r="AB274" s="333"/>
      <c r="AC274" s="333"/>
      <c r="AD274" s="333"/>
      <c r="AE274" s="333"/>
      <c r="AF274" s="333"/>
      <c r="AG274" s="333"/>
      <c r="AH274" s="333"/>
      <c r="AI274" s="333"/>
      <c r="AJ274" s="333"/>
      <c r="AK274" s="333"/>
      <c r="AL274" s="333"/>
      <c r="AM274" s="333"/>
      <c r="AN274" s="333"/>
      <c r="AO274" s="333"/>
    </row>
    <row r="275" spans="1:41" s="345" customFormat="1" ht="12" customHeight="1">
      <c r="A275" s="346" t="s">
        <v>866</v>
      </c>
      <c r="B275" s="347"/>
      <c r="C275" s="347"/>
      <c r="D275" s="348"/>
      <c r="E275" s="347"/>
      <c r="F275" s="348"/>
      <c r="G275" s="348"/>
      <c r="H275" s="347"/>
      <c r="I275" s="356"/>
      <c r="J275" s="347"/>
      <c r="K275" s="347"/>
      <c r="L275" s="348"/>
      <c r="M275" s="347"/>
      <c r="N275" s="348"/>
      <c r="O275" s="348"/>
      <c r="P275" s="347"/>
      <c r="Q275" s="332">
        <f t="shared" si="65"/>
        <v>0</v>
      </c>
      <c r="R275" s="367"/>
      <c r="S275" s="349"/>
      <c r="T275" s="349"/>
      <c r="U275" s="349"/>
      <c r="V275" s="349"/>
      <c r="W275" s="349"/>
      <c r="X275" s="349"/>
      <c r="Y275" s="349"/>
      <c r="Z275" s="349"/>
      <c r="AA275" s="349"/>
      <c r="AB275" s="349"/>
      <c r="AC275" s="349"/>
      <c r="AD275" s="349"/>
      <c r="AE275" s="349"/>
      <c r="AF275" s="349"/>
      <c r="AG275" s="349"/>
      <c r="AH275" s="349"/>
      <c r="AI275" s="349"/>
      <c r="AJ275" s="349"/>
      <c r="AK275" s="349"/>
      <c r="AL275" s="349"/>
      <c r="AM275" s="349"/>
      <c r="AN275" s="349"/>
      <c r="AO275" s="349"/>
    </row>
    <row r="276" spans="1:41" s="345" customFormat="1" ht="23.25" customHeight="1">
      <c r="A276" s="455" t="s">
        <v>883</v>
      </c>
      <c r="B276" s="467"/>
      <c r="C276" s="467"/>
      <c r="D276" s="467"/>
      <c r="E276" s="467"/>
      <c r="F276" s="467"/>
      <c r="G276" s="467"/>
      <c r="H276" s="467"/>
      <c r="I276" s="356"/>
      <c r="P276" s="358"/>
      <c r="Q276" s="332">
        <f t="shared" si="65"/>
        <v>0</v>
      </c>
      <c r="R276" s="368"/>
    </row>
    <row r="277" spans="1:41" s="345" customFormat="1" ht="13.5" customHeight="1">
      <c r="I277" s="356"/>
      <c r="Q277" s="332">
        <f t="shared" si="65"/>
        <v>0</v>
      </c>
      <c r="R277" s="368"/>
    </row>
    <row r="278" spans="1:41" s="345" customFormat="1">
      <c r="B278" s="347"/>
      <c r="C278" s="347"/>
      <c r="D278" s="348"/>
      <c r="E278" s="347"/>
      <c r="F278" s="348"/>
      <c r="G278" s="348"/>
      <c r="H278" s="351" t="s">
        <v>980</v>
      </c>
      <c r="I278" s="372"/>
      <c r="Q278" s="332">
        <f t="shared" si="65"/>
        <v>0</v>
      </c>
      <c r="R278" s="368"/>
    </row>
    <row r="279" spans="1:41" ht="18">
      <c r="A279" s="293" t="s">
        <v>884</v>
      </c>
      <c r="B279" s="294"/>
      <c r="C279" s="294"/>
      <c r="D279" s="294"/>
      <c r="E279" s="294"/>
      <c r="F279" s="294"/>
      <c r="G279" s="294"/>
      <c r="H279" s="294"/>
      <c r="Q279" s="332">
        <f t="shared" si="65"/>
        <v>0</v>
      </c>
    </row>
    <row r="280" spans="1:41">
      <c r="A280" s="299"/>
      <c r="B280" s="295"/>
      <c r="C280" s="295"/>
      <c r="D280" s="295"/>
      <c r="E280" s="295"/>
      <c r="F280" s="295"/>
      <c r="G280" s="295"/>
      <c r="H280" s="295"/>
      <c r="Q280" s="332">
        <f t="shared" si="65"/>
        <v>0</v>
      </c>
    </row>
    <row r="281" spans="1:41" ht="15.75">
      <c r="A281" s="301" t="s">
        <v>846</v>
      </c>
      <c r="B281" s="295"/>
      <c r="C281" s="295"/>
      <c r="D281" s="295"/>
      <c r="E281" s="295"/>
      <c r="F281" s="295"/>
      <c r="G281" s="295"/>
      <c r="H281" s="295"/>
      <c r="Q281" s="332">
        <f t="shared" si="65"/>
        <v>0</v>
      </c>
    </row>
    <row r="282" spans="1:41" ht="15.75">
      <c r="A282" s="301" t="s">
        <v>900</v>
      </c>
      <c r="B282" s="295"/>
      <c r="C282" s="295"/>
      <c r="D282" s="295"/>
      <c r="E282" s="295"/>
      <c r="F282" s="295"/>
      <c r="G282" s="295"/>
      <c r="H282" s="295"/>
      <c r="Q282" s="332">
        <f t="shared" si="65"/>
        <v>0</v>
      </c>
    </row>
    <row r="283" spans="1:41">
      <c r="A283" s="304"/>
      <c r="B283" s="305"/>
      <c r="C283" s="305"/>
      <c r="D283" s="305"/>
      <c r="E283" s="305"/>
      <c r="F283" s="305"/>
      <c r="G283" s="305"/>
      <c r="H283" s="305"/>
      <c r="Q283" s="332">
        <f t="shared" si="65"/>
        <v>0</v>
      </c>
    </row>
    <row r="284" spans="1:41">
      <c r="A284" s="309"/>
      <c r="B284" s="310" t="s">
        <v>848</v>
      </c>
      <c r="C284" s="310"/>
      <c r="D284" s="310"/>
      <c r="E284" s="310"/>
      <c r="F284" s="310"/>
      <c r="G284" s="310"/>
      <c r="H284" s="311"/>
      <c r="Q284" s="332">
        <f t="shared" si="65"/>
        <v>0</v>
      </c>
    </row>
    <row r="285" spans="1:41">
      <c r="A285" s="309"/>
      <c r="B285" s="310" t="s">
        <v>849</v>
      </c>
      <c r="C285" s="310"/>
      <c r="D285" s="450" t="s">
        <v>850</v>
      </c>
      <c r="E285" s="448"/>
      <c r="F285" s="448"/>
      <c r="G285" s="448"/>
      <c r="H285" s="317" t="s">
        <v>740</v>
      </c>
      <c r="Q285" s="332">
        <f t="shared" si="65"/>
        <v>0</v>
      </c>
    </row>
    <row r="286" spans="1:41" ht="36">
      <c r="A286" s="309"/>
      <c r="B286" s="318" t="s">
        <v>851</v>
      </c>
      <c r="C286" s="319" t="s">
        <v>852</v>
      </c>
      <c r="D286" s="320" t="s">
        <v>853</v>
      </c>
      <c r="E286" s="321" t="s">
        <v>8</v>
      </c>
      <c r="F286" s="318" t="s">
        <v>854</v>
      </c>
      <c r="G286" s="322" t="s">
        <v>864</v>
      </c>
      <c r="H286" s="323" t="s">
        <v>856</v>
      </c>
      <c r="Q286" s="332">
        <f t="shared" si="65"/>
        <v>0</v>
      </c>
    </row>
    <row r="287" spans="1:41" ht="15.75" customHeight="1">
      <c r="A287" s="353" t="s">
        <v>825</v>
      </c>
      <c r="B287" s="327">
        <f>('Pivot Table for Data Exchange'!$L$6)*100</f>
        <v>63.466803838637865</v>
      </c>
      <c r="C287" s="327">
        <f>('Pivot Table for Data Exchange'!$L$9)*100</f>
        <v>3.9700943329468568</v>
      </c>
      <c r="D287" s="328">
        <f>SUM(E287:G287)</f>
        <v>32.563101828415277</v>
      </c>
      <c r="E287" s="327">
        <f>('Pivot Table for Data Exchange'!$L$12)*100</f>
        <v>32.129268252853663</v>
      </c>
      <c r="F287" s="327">
        <f>('Pivot Table for Data Exchange'!$L$15)*100</f>
        <v>0.43383357556161578</v>
      </c>
      <c r="G287" s="331">
        <f>('Pivot Table for Data Exchange'!$L$18)*100</f>
        <v>0</v>
      </c>
      <c r="H287" s="327">
        <f>('Pivot Table for Data Exchange'!$L$21)*100</f>
        <v>0</v>
      </c>
      <c r="I287" s="298"/>
      <c r="J287" s="366"/>
      <c r="K287" s="366"/>
      <c r="L287" s="366"/>
      <c r="M287" s="366"/>
      <c r="N287" s="366"/>
      <c r="O287" s="366"/>
      <c r="P287" s="366"/>
      <c r="Q287" s="332">
        <f t="shared" si="65"/>
        <v>100</v>
      </c>
      <c r="R287" s="332"/>
      <c r="S287" s="333"/>
      <c r="T287" s="333"/>
      <c r="U287" s="333"/>
      <c r="V287" s="333"/>
      <c r="W287" s="333"/>
      <c r="X287" s="333"/>
      <c r="Y287" s="333"/>
      <c r="Z287" s="333"/>
      <c r="AA287" s="333"/>
      <c r="AB287" s="333"/>
      <c r="AC287" s="333"/>
      <c r="AD287" s="333"/>
      <c r="AE287" s="333"/>
      <c r="AF287" s="333"/>
      <c r="AG287" s="333"/>
      <c r="AH287" s="333"/>
      <c r="AI287" s="333"/>
      <c r="AJ287" s="333"/>
      <c r="AK287" s="333"/>
      <c r="AL287" s="333"/>
      <c r="AM287" s="333"/>
      <c r="AN287" s="333"/>
      <c r="AO287" s="333"/>
    </row>
    <row r="288" spans="1:41" ht="15.75" customHeight="1">
      <c r="A288" s="298" t="s">
        <v>826</v>
      </c>
      <c r="B288" s="327">
        <f>('Pivot Table for Data Exchange'!$L$42)*100</f>
        <v>61.227496017436636</v>
      </c>
      <c r="C288" s="327">
        <f>('Pivot Table for Data Exchange'!$L$45)*100</f>
        <v>10.834571982750003</v>
      </c>
      <c r="D288" s="328">
        <f t="shared" ref="D288:D290" si="67">SUM(E288:G288)</f>
        <v>27.937931999813369</v>
      </c>
      <c r="E288" s="327">
        <f>('Pivot Table for Data Exchange'!$L$48)*100</f>
        <v>27.937931999813369</v>
      </c>
      <c r="F288" s="339">
        <f>('Pivot Table for Data Exchange'!$L$51)*100</f>
        <v>0</v>
      </c>
      <c r="G288" s="335">
        <f>('Pivot Table for Data Exchange'!$L$54)*100</f>
        <v>0</v>
      </c>
      <c r="H288" s="327">
        <f>('Pivot Table for Data Exchange'!$L$57)*100</f>
        <v>0</v>
      </c>
      <c r="I288" s="298"/>
      <c r="J288" s="366"/>
      <c r="K288" s="366"/>
      <c r="L288" s="366"/>
      <c r="M288" s="366"/>
      <c r="N288" s="366"/>
      <c r="O288" s="366"/>
      <c r="P288" s="366"/>
      <c r="Q288" s="332">
        <f t="shared" si="65"/>
        <v>100.00000000000001</v>
      </c>
      <c r="R288" s="332"/>
      <c r="S288" s="333"/>
      <c r="T288" s="333"/>
      <c r="U288" s="333"/>
      <c r="V288" s="333"/>
      <c r="W288" s="333"/>
      <c r="X288" s="333"/>
      <c r="Y288" s="333"/>
      <c r="Z288" s="333"/>
      <c r="AA288" s="333"/>
      <c r="AB288" s="333"/>
      <c r="AC288" s="333"/>
      <c r="AD288" s="333"/>
      <c r="AE288" s="333"/>
      <c r="AF288" s="333"/>
      <c r="AG288" s="333"/>
      <c r="AH288" s="333"/>
      <c r="AI288" s="333"/>
      <c r="AJ288" s="333"/>
      <c r="AK288" s="333"/>
      <c r="AL288" s="333"/>
      <c r="AM288" s="333"/>
      <c r="AN288" s="333"/>
      <c r="AO288" s="333"/>
    </row>
    <row r="289" spans="1:41" ht="15.75" customHeight="1">
      <c r="A289" s="298" t="s">
        <v>827</v>
      </c>
      <c r="B289" s="327">
        <f>('Pivot Table for Data Exchange'!$L$78)*100</f>
        <v>0</v>
      </c>
      <c r="C289" s="327">
        <f>('Pivot Table for Data Exchange'!$L$81)*100</f>
        <v>0</v>
      </c>
      <c r="D289" s="328">
        <f t="shared" si="67"/>
        <v>0</v>
      </c>
      <c r="E289" s="327">
        <f>('Pivot Table for Data Exchange'!$L$84)*100</f>
        <v>0</v>
      </c>
      <c r="F289" s="327">
        <f>('Pivot Table for Data Exchange'!$L$87)*100</f>
        <v>0</v>
      </c>
      <c r="G289" s="335">
        <f>('Pivot Table for Data Exchange'!$L$90)*100</f>
        <v>0</v>
      </c>
      <c r="H289" s="327">
        <f>('Pivot Table for Data Exchange'!$L$93)*100</f>
        <v>0</v>
      </c>
      <c r="I289" s="298"/>
      <c r="J289" s="366"/>
      <c r="K289" s="366"/>
      <c r="L289" s="366"/>
      <c r="M289" s="366"/>
      <c r="N289" s="366"/>
      <c r="O289" s="366"/>
      <c r="P289" s="366"/>
      <c r="Q289" s="332">
        <f t="shared" si="65"/>
        <v>0</v>
      </c>
      <c r="R289" s="332"/>
      <c r="S289" s="333"/>
      <c r="T289" s="307"/>
      <c r="U289" s="333"/>
      <c r="V289" s="333"/>
      <c r="W289" s="333"/>
      <c r="X289" s="333"/>
      <c r="Y289" s="333"/>
      <c r="Z289" s="333"/>
      <c r="AA289" s="333"/>
      <c r="AB289" s="333"/>
      <c r="AC289" s="333"/>
      <c r="AD289" s="333"/>
      <c r="AE289" s="333"/>
      <c r="AF289" s="333"/>
      <c r="AG289" s="333"/>
      <c r="AH289" s="333"/>
      <c r="AI289" s="333"/>
      <c r="AJ289" s="333"/>
      <c r="AK289" s="333"/>
      <c r="AL289" s="333"/>
      <c r="AM289" s="333"/>
      <c r="AN289" s="333"/>
      <c r="AO289" s="333"/>
    </row>
    <row r="290" spans="1:41" ht="15.75" customHeight="1">
      <c r="A290" s="298" t="s">
        <v>865</v>
      </c>
      <c r="B290" s="327">
        <f>('Pivot Table for Data Exchange'!$L$114)*100</f>
        <v>70.042309797017325</v>
      </c>
      <c r="C290" s="327">
        <f>('Pivot Table for Data Exchange'!$L$117)*100</f>
        <v>3.8287514909137679</v>
      </c>
      <c r="D290" s="328">
        <f t="shared" si="67"/>
        <v>26.128938712068909</v>
      </c>
      <c r="E290" s="327">
        <f>('Pivot Table for Data Exchange'!$L$120)*100</f>
        <v>26.034782123352411</v>
      </c>
      <c r="F290" s="327">
        <f>('Pivot Table for Data Exchange'!$L$123)*100</f>
        <v>0</v>
      </c>
      <c r="G290" s="334">
        <f>('Pivot Table for Data Exchange'!$L$126)*100</f>
        <v>9.4156588716497666E-2</v>
      </c>
      <c r="H290" s="339">
        <f>('Pivot Table for Data Exchange'!$L$129)*100</f>
        <v>0</v>
      </c>
      <c r="I290" s="298"/>
      <c r="J290" s="366"/>
      <c r="K290" s="366"/>
      <c r="L290" s="366"/>
      <c r="M290" s="366"/>
      <c r="N290" s="366"/>
      <c r="O290" s="366"/>
      <c r="P290" s="366"/>
      <c r="Q290" s="332">
        <f t="shared" si="65"/>
        <v>100</v>
      </c>
      <c r="R290" s="332"/>
      <c r="S290" s="333"/>
      <c r="U290" s="333"/>
      <c r="V290" s="333"/>
      <c r="W290" s="333"/>
      <c r="X290" s="333"/>
      <c r="Y290" s="333"/>
      <c r="Z290" s="333"/>
      <c r="AA290" s="333"/>
      <c r="AB290" s="333"/>
      <c r="AC290" s="333"/>
      <c r="AD290" s="333"/>
      <c r="AE290" s="333"/>
      <c r="AF290" s="333"/>
      <c r="AG290" s="333"/>
      <c r="AH290" s="333"/>
      <c r="AI290" s="333"/>
      <c r="AJ290" s="333"/>
      <c r="AK290" s="333"/>
      <c r="AL290" s="333"/>
      <c r="AM290" s="333"/>
      <c r="AN290" s="333"/>
      <c r="AO290" s="333"/>
    </row>
    <row r="291" spans="1:41" ht="15.75" customHeight="1">
      <c r="B291" s="327"/>
      <c r="C291" s="327"/>
      <c r="D291" s="328"/>
      <c r="E291" s="327"/>
      <c r="F291" s="327"/>
      <c r="G291" s="335"/>
      <c r="H291" s="327"/>
      <c r="I291" s="298"/>
      <c r="J291" s="366"/>
      <c r="K291" s="366"/>
      <c r="L291" s="366"/>
      <c r="M291" s="366"/>
      <c r="N291" s="366"/>
      <c r="O291" s="366"/>
      <c r="P291" s="366"/>
      <c r="Q291" s="332">
        <f t="shared" si="65"/>
        <v>0</v>
      </c>
      <c r="R291" s="332"/>
      <c r="S291" s="333"/>
      <c r="U291" s="333"/>
      <c r="V291" s="333"/>
      <c r="W291" s="333"/>
      <c r="X291" s="333"/>
      <c r="Y291" s="333"/>
      <c r="Z291" s="333"/>
      <c r="AA291" s="333"/>
      <c r="AB291" s="333"/>
      <c r="AC291" s="333"/>
      <c r="AD291" s="333"/>
      <c r="AE291" s="333"/>
      <c r="AF291" s="333"/>
      <c r="AG291" s="333"/>
      <c r="AH291" s="333"/>
      <c r="AI291" s="333"/>
      <c r="AJ291" s="333"/>
      <c r="AK291" s="333"/>
      <c r="AL291" s="333"/>
      <c r="AM291" s="333"/>
      <c r="AN291" s="333"/>
      <c r="AO291" s="333"/>
    </row>
    <row r="292" spans="1:41" ht="15.75" customHeight="1">
      <c r="A292" s="298" t="s">
        <v>829</v>
      </c>
      <c r="B292" s="327">
        <f>('Pivot Table for Data Exchange'!$L$150)*100</f>
        <v>0</v>
      </c>
      <c r="C292" s="327">
        <f>('Pivot Table for Data Exchange'!$L$153)*100</f>
        <v>0</v>
      </c>
      <c r="D292" s="328">
        <f t="shared" ref="D292:D295" si="68">SUM(E292:G292)</f>
        <v>0</v>
      </c>
      <c r="E292" s="327">
        <f>('Pivot Table for Data Exchange'!$L$156)*100</f>
        <v>0</v>
      </c>
      <c r="F292" s="327">
        <f>('Pivot Table for Data Exchange'!$L$159)*100</f>
        <v>0</v>
      </c>
      <c r="G292" s="335">
        <f>('Pivot Table for Data Exchange'!$L$162)*100</f>
        <v>0</v>
      </c>
      <c r="H292" s="327">
        <f>('Pivot Table for Data Exchange'!$L$165)*100</f>
        <v>0</v>
      </c>
      <c r="I292" s="298"/>
      <c r="J292" s="366"/>
      <c r="K292" s="366"/>
      <c r="L292" s="366"/>
      <c r="M292" s="366"/>
      <c r="N292" s="366"/>
      <c r="O292" s="366"/>
      <c r="P292" s="366"/>
      <c r="Q292" s="332">
        <f t="shared" si="65"/>
        <v>0</v>
      </c>
      <c r="R292" s="332"/>
      <c r="S292" s="333"/>
      <c r="T292" s="333"/>
      <c r="U292" s="333"/>
      <c r="V292" s="333"/>
      <c r="W292" s="333"/>
      <c r="X292" s="333"/>
      <c r="Y292" s="333"/>
      <c r="Z292" s="333"/>
      <c r="AA292" s="333"/>
      <c r="AB292" s="333"/>
      <c r="AC292" s="333"/>
      <c r="AD292" s="333"/>
      <c r="AE292" s="333"/>
      <c r="AF292" s="333"/>
      <c r="AG292" s="333"/>
      <c r="AH292" s="333"/>
      <c r="AI292" s="333"/>
      <c r="AJ292" s="333"/>
      <c r="AK292" s="333"/>
      <c r="AL292" s="333"/>
      <c r="AM292" s="333"/>
      <c r="AN292" s="333"/>
      <c r="AO292" s="333"/>
    </row>
    <row r="293" spans="1:41" ht="15.75" customHeight="1">
      <c r="A293" s="298" t="s">
        <v>830</v>
      </c>
      <c r="B293" s="327">
        <f>('Pivot Table for Data Exchange'!$L$186)*100</f>
        <v>62.058071114604182</v>
      </c>
      <c r="C293" s="327">
        <f>('Pivot Table for Data Exchange'!$L$189)*100</f>
        <v>4.4507134622241074</v>
      </c>
      <c r="D293" s="328">
        <f t="shared" si="68"/>
        <v>33.49121542317171</v>
      </c>
      <c r="E293" s="327">
        <f>('Pivot Table for Data Exchange'!$L$192)*100</f>
        <v>33.49121542317171</v>
      </c>
      <c r="F293" s="339">
        <f>('Pivot Table for Data Exchange'!$L$195)*100</f>
        <v>0</v>
      </c>
      <c r="G293" s="334">
        <f>('Pivot Table for Data Exchange'!$L$198)*100</f>
        <v>0</v>
      </c>
      <c r="H293" s="327">
        <f>('Pivot Table for Data Exchange'!$L$201)*100</f>
        <v>0</v>
      </c>
      <c r="I293" s="298"/>
      <c r="J293" s="366"/>
      <c r="K293" s="366"/>
      <c r="L293" s="366"/>
      <c r="M293" s="366"/>
      <c r="N293" s="366"/>
      <c r="O293" s="366"/>
      <c r="P293" s="366"/>
      <c r="Q293" s="332">
        <f t="shared" si="65"/>
        <v>100</v>
      </c>
      <c r="R293" s="332"/>
      <c r="S293" s="333"/>
      <c r="T293" s="333"/>
      <c r="U293" s="333"/>
      <c r="V293" s="333"/>
      <c r="W293" s="333"/>
      <c r="X293" s="333"/>
      <c r="Y293" s="333"/>
      <c r="Z293" s="333"/>
      <c r="AA293" s="333"/>
      <c r="AB293" s="333"/>
      <c r="AC293" s="333"/>
      <c r="AD293" s="333"/>
      <c r="AE293" s="333"/>
      <c r="AF293" s="333"/>
      <c r="AG293" s="333"/>
      <c r="AH293" s="333"/>
      <c r="AI293" s="333"/>
      <c r="AJ293" s="333"/>
      <c r="AK293" s="333"/>
      <c r="AL293" s="333"/>
      <c r="AM293" s="333"/>
      <c r="AN293" s="333"/>
      <c r="AO293" s="333"/>
    </row>
    <row r="294" spans="1:41" ht="15.75" customHeight="1">
      <c r="A294" s="298" t="s">
        <v>831</v>
      </c>
      <c r="B294" s="327">
        <f>('Pivot Table for Data Exchange'!$L$222)*100</f>
        <v>80.120721247605388</v>
      </c>
      <c r="C294" s="327">
        <f>('Pivot Table for Data Exchange'!$L$225)*100</f>
        <v>0</v>
      </c>
      <c r="D294" s="328">
        <f t="shared" si="68"/>
        <v>19.879278752394612</v>
      </c>
      <c r="E294" s="327">
        <f>('Pivot Table for Data Exchange'!$L$228)*100</f>
        <v>19.879278752394612</v>
      </c>
      <c r="F294" s="327">
        <f>('Pivot Table for Data Exchange'!$L$231)*100</f>
        <v>0</v>
      </c>
      <c r="G294" s="335">
        <f>('Pivot Table for Data Exchange'!$L$234)*100</f>
        <v>0</v>
      </c>
      <c r="H294" s="327">
        <f>('Pivot Table for Data Exchange'!$L$237)*100</f>
        <v>0</v>
      </c>
      <c r="I294" s="298"/>
      <c r="J294" s="366"/>
      <c r="K294" s="366"/>
      <c r="L294" s="366"/>
      <c r="M294" s="366"/>
      <c r="N294" s="366"/>
      <c r="O294" s="366"/>
      <c r="P294" s="366"/>
      <c r="Q294" s="332">
        <f t="shared" si="65"/>
        <v>100</v>
      </c>
      <c r="R294" s="332"/>
      <c r="S294" s="333"/>
      <c r="T294" s="307"/>
      <c r="U294" s="333"/>
      <c r="V294" s="333"/>
      <c r="W294" s="333"/>
      <c r="X294" s="333"/>
      <c r="Y294" s="333"/>
      <c r="Z294" s="333"/>
      <c r="AA294" s="333"/>
      <c r="AB294" s="333"/>
      <c r="AC294" s="333"/>
      <c r="AD294" s="333"/>
      <c r="AE294" s="333"/>
      <c r="AF294" s="333"/>
      <c r="AG294" s="333"/>
      <c r="AH294" s="333"/>
      <c r="AI294" s="333"/>
      <c r="AJ294" s="333"/>
      <c r="AK294" s="333"/>
      <c r="AL294" s="333"/>
      <c r="AM294" s="333"/>
      <c r="AN294" s="333"/>
      <c r="AO294" s="333"/>
    </row>
    <row r="295" spans="1:41" ht="15.75" customHeight="1">
      <c r="A295" s="298" t="s">
        <v>832</v>
      </c>
      <c r="B295" s="327">
        <f>('Pivot Table for Data Exchange'!$L$258)*100</f>
        <v>66.627370281934063</v>
      </c>
      <c r="C295" s="327">
        <f>('Pivot Table for Data Exchange'!$L$261)*100</f>
        <v>16.479633873683621</v>
      </c>
      <c r="D295" s="328">
        <f t="shared" si="68"/>
        <v>16.89299584438232</v>
      </c>
      <c r="E295" s="327">
        <f>('Pivot Table for Data Exchange'!$L$264)*100</f>
        <v>16.872647716410093</v>
      </c>
      <c r="F295" s="327">
        <f>('Pivot Table for Data Exchange'!$L$267)*100</f>
        <v>2.0348127972226553E-2</v>
      </c>
      <c r="G295" s="334">
        <f>('Pivot Table for Data Exchange'!$L$270)*100</f>
        <v>0</v>
      </c>
      <c r="H295" s="327">
        <f>('Pivot Table for Data Exchange'!$L$273)*100</f>
        <v>0</v>
      </c>
      <c r="I295" s="298"/>
      <c r="J295" s="366"/>
      <c r="K295" s="366"/>
      <c r="L295" s="366"/>
      <c r="M295" s="366"/>
      <c r="N295" s="366"/>
      <c r="O295" s="366"/>
      <c r="P295" s="366"/>
      <c r="Q295" s="332">
        <f t="shared" si="65"/>
        <v>100</v>
      </c>
      <c r="R295" s="332"/>
      <c r="S295" s="333"/>
      <c r="U295" s="333"/>
      <c r="V295" s="333"/>
      <c r="W295" s="333"/>
      <c r="X295" s="333"/>
      <c r="Y295" s="333"/>
      <c r="Z295" s="333"/>
      <c r="AA295" s="333"/>
      <c r="AB295" s="333"/>
      <c r="AC295" s="333"/>
      <c r="AD295" s="333"/>
      <c r="AE295" s="333"/>
      <c r="AF295" s="333"/>
      <c r="AG295" s="333"/>
      <c r="AH295" s="333"/>
      <c r="AI295" s="333"/>
      <c r="AJ295" s="333"/>
      <c r="AK295" s="333"/>
      <c r="AL295" s="333"/>
      <c r="AM295" s="333"/>
      <c r="AN295" s="333"/>
      <c r="AO295" s="333"/>
    </row>
    <row r="296" spans="1:41" ht="9.75" customHeight="1">
      <c r="B296" s="327"/>
      <c r="C296" s="327"/>
      <c r="D296" s="328"/>
      <c r="E296" s="327"/>
      <c r="F296" s="327"/>
      <c r="G296" s="335"/>
      <c r="H296" s="327"/>
      <c r="I296" s="298"/>
      <c r="J296" s="366"/>
      <c r="K296" s="366"/>
      <c r="L296" s="366"/>
      <c r="M296" s="366"/>
      <c r="N296" s="366"/>
      <c r="O296" s="366"/>
      <c r="P296" s="366"/>
      <c r="Q296" s="332">
        <f t="shared" si="65"/>
        <v>0</v>
      </c>
      <c r="R296" s="332"/>
      <c r="S296" s="333"/>
      <c r="U296" s="333"/>
      <c r="V296" s="333"/>
      <c r="W296" s="333"/>
      <c r="X296" s="333"/>
      <c r="Y296" s="333"/>
      <c r="Z296" s="333"/>
      <c r="AA296" s="333"/>
      <c r="AB296" s="333"/>
      <c r="AC296" s="333"/>
      <c r="AD296" s="333"/>
      <c r="AE296" s="333"/>
      <c r="AF296" s="333"/>
      <c r="AG296" s="333"/>
      <c r="AH296" s="333"/>
      <c r="AI296" s="333"/>
      <c r="AJ296" s="333"/>
      <c r="AK296" s="333"/>
      <c r="AL296" s="333"/>
      <c r="AM296" s="333"/>
      <c r="AN296" s="333"/>
      <c r="AO296" s="333"/>
    </row>
    <row r="297" spans="1:41" ht="15.75" customHeight="1">
      <c r="A297" s="298" t="s">
        <v>880</v>
      </c>
      <c r="B297" s="327">
        <f>('Pivot Table for Data Exchange'!$L$294)*100</f>
        <v>69.342665867071162</v>
      </c>
      <c r="C297" s="327">
        <f>('Pivot Table for Data Exchange'!$L$297)*100</f>
        <v>3.2246432197045412</v>
      </c>
      <c r="D297" s="328">
        <f t="shared" ref="D297:D299" si="69">SUM(E297:G297)</f>
        <v>27.432690913224288</v>
      </c>
      <c r="E297" s="327">
        <f>('Pivot Table for Data Exchange'!$L$300)*100</f>
        <v>27.432690913224288</v>
      </c>
      <c r="F297" s="327">
        <f>('Pivot Table for Data Exchange'!$L$303)*100</f>
        <v>0</v>
      </c>
      <c r="G297" s="335">
        <f>('Pivot Table for Data Exchange'!$L$306)*100</f>
        <v>0</v>
      </c>
      <c r="H297" s="327">
        <f>('Pivot Table for Data Exchange'!$L$309)*100</f>
        <v>0</v>
      </c>
      <c r="I297" s="373"/>
      <c r="J297" s="366"/>
      <c r="K297" s="366"/>
      <c r="L297" s="366"/>
      <c r="M297" s="366"/>
      <c r="N297" s="366"/>
      <c r="O297" s="366"/>
      <c r="P297" s="366"/>
      <c r="Q297" s="332">
        <f t="shared" si="65"/>
        <v>100</v>
      </c>
      <c r="R297" s="332"/>
      <c r="S297" s="333"/>
      <c r="T297" s="333"/>
      <c r="U297" s="333"/>
      <c r="V297" s="333"/>
      <c r="W297" s="333"/>
      <c r="X297" s="333"/>
      <c r="Y297" s="333"/>
      <c r="Z297" s="333"/>
      <c r="AA297" s="333"/>
      <c r="AB297" s="333"/>
      <c r="AC297" s="333"/>
      <c r="AD297" s="333"/>
      <c r="AE297" s="333"/>
      <c r="AF297" s="333"/>
      <c r="AG297" s="333"/>
      <c r="AH297" s="333"/>
      <c r="AI297" s="333"/>
      <c r="AJ297" s="333"/>
      <c r="AK297" s="333"/>
      <c r="AL297" s="333"/>
      <c r="AM297" s="333"/>
      <c r="AN297" s="333"/>
      <c r="AO297" s="333"/>
    </row>
    <row r="298" spans="1:41" ht="15.75" customHeight="1">
      <c r="A298" s="298" t="s">
        <v>834</v>
      </c>
      <c r="B298" s="327">
        <f>('Pivot Table for Data Exchange'!$L$330)*100</f>
        <v>55.873495111789516</v>
      </c>
      <c r="C298" s="327">
        <f>('Pivot Table for Data Exchange'!$L$333)*100</f>
        <v>2.5733503667983761</v>
      </c>
      <c r="D298" s="328">
        <f t="shared" si="69"/>
        <v>41.553154521412104</v>
      </c>
      <c r="E298" s="327">
        <f>('Pivot Table for Data Exchange'!$L$336)*100</f>
        <v>41.449806158569515</v>
      </c>
      <c r="F298" s="327">
        <f>('Pivot Table for Data Exchange'!$L$339)*100</f>
        <v>0.10268005934153202</v>
      </c>
      <c r="G298" s="335">
        <f>('Pivot Table for Data Exchange'!$L$342)*100</f>
        <v>6.6830350106064531E-4</v>
      </c>
      <c r="H298" s="327">
        <f>('Pivot Table for Data Exchange'!$L$345)*100</f>
        <v>0</v>
      </c>
      <c r="I298" s="298"/>
      <c r="J298" s="366"/>
      <c r="K298" s="366"/>
      <c r="L298" s="366"/>
      <c r="M298" s="366"/>
      <c r="N298" s="366"/>
      <c r="O298" s="366"/>
      <c r="P298" s="366"/>
      <c r="Q298" s="332">
        <f t="shared" si="65"/>
        <v>100</v>
      </c>
      <c r="R298" s="332"/>
      <c r="S298" s="333"/>
      <c r="T298" s="333"/>
      <c r="U298" s="333"/>
      <c r="V298" s="333"/>
      <c r="W298" s="333"/>
      <c r="X298" s="333"/>
      <c r="Y298" s="333"/>
      <c r="Z298" s="333"/>
      <c r="AA298" s="333"/>
      <c r="AB298" s="333"/>
      <c r="AC298" s="333"/>
      <c r="AD298" s="333"/>
      <c r="AE298" s="333"/>
      <c r="AF298" s="333"/>
      <c r="AG298" s="333"/>
      <c r="AH298" s="333"/>
      <c r="AI298" s="333"/>
      <c r="AJ298" s="333"/>
      <c r="AK298" s="333"/>
      <c r="AL298" s="333"/>
      <c r="AM298" s="333"/>
      <c r="AN298" s="333"/>
      <c r="AO298" s="333"/>
    </row>
    <row r="299" spans="1:41" ht="15.75" customHeight="1">
      <c r="A299" s="298" t="s">
        <v>835</v>
      </c>
      <c r="B299" s="327">
        <f>('Pivot Table for Data Exchange'!$L$366)*100</f>
        <v>66.845915928581462</v>
      </c>
      <c r="C299" s="327">
        <f>('Pivot Table for Data Exchange'!$L$369)*100</f>
        <v>3.9027873352719631</v>
      </c>
      <c r="D299" s="328">
        <f t="shared" si="69"/>
        <v>29.251296736146568</v>
      </c>
      <c r="E299" s="327">
        <f>('Pivot Table for Data Exchange'!$L$372)*100</f>
        <v>29.033200884962302</v>
      </c>
      <c r="F299" s="327">
        <f>('Pivot Table for Data Exchange'!$L$375)*100</f>
        <v>0</v>
      </c>
      <c r="G299" s="335">
        <f>('Pivot Table for Data Exchange'!$L$378)*100</f>
        <v>0.218095851184266</v>
      </c>
      <c r="H299" s="339">
        <f>('Pivot Table for Data Exchange'!$L$381)*100</f>
        <v>0</v>
      </c>
      <c r="I299" s="298"/>
      <c r="J299" s="366"/>
      <c r="K299" s="366"/>
      <c r="L299" s="366"/>
      <c r="M299" s="366"/>
      <c r="N299" s="366"/>
      <c r="O299" s="366"/>
      <c r="P299" s="366"/>
      <c r="Q299" s="332">
        <f t="shared" si="65"/>
        <v>100</v>
      </c>
      <c r="R299" s="332"/>
      <c r="S299" s="333"/>
      <c r="T299" s="307"/>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row>
    <row r="300" spans="1:41" ht="15.75" customHeight="1">
      <c r="A300" s="298" t="s">
        <v>836</v>
      </c>
      <c r="B300" s="327">
        <f>('Pivot Table for Data Exchange'!$L$402)*100</f>
        <v>61.191020522425369</v>
      </c>
      <c r="C300" s="327">
        <f>('Pivot Table for Data Exchange'!$L$405)*100</f>
        <v>6.5210967511158806</v>
      </c>
      <c r="D300" s="328">
        <f>SUM(E300:G300)</f>
        <v>32.287882726458754</v>
      </c>
      <c r="E300" s="327">
        <f>('Pivot Table for Data Exchange'!$L$408)*100</f>
        <v>32.287882726458754</v>
      </c>
      <c r="F300" s="327">
        <f>('Pivot Table for Data Exchange'!$L$411)*100</f>
        <v>0</v>
      </c>
      <c r="G300" s="335">
        <f>('Pivot Table for Data Exchange'!$L$414)*100</f>
        <v>0</v>
      </c>
      <c r="H300" s="327">
        <f>('Pivot Table for Data Exchange'!$L$417)*100</f>
        <v>0</v>
      </c>
      <c r="I300" s="298"/>
      <c r="J300" s="366"/>
      <c r="K300" s="366"/>
      <c r="L300" s="366"/>
      <c r="M300" s="366"/>
      <c r="N300" s="366"/>
      <c r="O300" s="366"/>
      <c r="P300" s="366"/>
      <c r="Q300" s="332">
        <f t="shared" si="65"/>
        <v>100</v>
      </c>
      <c r="R300" s="332"/>
      <c r="S300" s="333"/>
      <c r="T300" s="333"/>
      <c r="U300" s="333"/>
      <c r="V300" s="333"/>
      <c r="W300" s="333"/>
      <c r="X300" s="333"/>
      <c r="Y300" s="333"/>
      <c r="Z300" s="333"/>
      <c r="AA300" s="333"/>
      <c r="AB300" s="333"/>
      <c r="AC300" s="333"/>
      <c r="AD300" s="333"/>
      <c r="AE300" s="333"/>
      <c r="AF300" s="333"/>
      <c r="AG300" s="333"/>
      <c r="AH300" s="333"/>
      <c r="AI300" s="333"/>
      <c r="AJ300" s="333"/>
      <c r="AK300" s="333"/>
      <c r="AL300" s="333"/>
      <c r="AM300" s="333"/>
      <c r="AN300" s="333"/>
      <c r="AO300" s="333"/>
    </row>
    <row r="301" spans="1:41" ht="11.25" customHeight="1">
      <c r="B301" s="327"/>
      <c r="C301" s="327"/>
      <c r="D301" s="328"/>
      <c r="E301" s="327"/>
      <c r="F301" s="327"/>
      <c r="G301" s="335"/>
      <c r="H301" s="327"/>
      <c r="I301" s="298"/>
      <c r="J301" s="366"/>
      <c r="K301" s="366"/>
      <c r="L301" s="366"/>
      <c r="M301" s="366"/>
      <c r="N301" s="366"/>
      <c r="O301" s="366"/>
      <c r="P301" s="366"/>
      <c r="Q301" s="332">
        <f t="shared" si="65"/>
        <v>0</v>
      </c>
      <c r="R301" s="332"/>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row>
    <row r="302" spans="1:41" ht="15.75" customHeight="1">
      <c r="A302" s="298" t="s">
        <v>837</v>
      </c>
      <c r="B302" s="327">
        <f>('Pivot Table for Data Exchange'!$L$438)*100</f>
        <v>41.945332011164979</v>
      </c>
      <c r="C302" s="327">
        <f>('Pivot Table for Data Exchange'!$L$441)*100</f>
        <v>31.927152196268548</v>
      </c>
      <c r="D302" s="328">
        <f>SUM(E302:G302)</f>
        <v>26.034091743793155</v>
      </c>
      <c r="E302" s="327">
        <f>('Pivot Table for Data Exchange'!$L$444)*100</f>
        <v>21.715123218745408</v>
      </c>
      <c r="F302" s="327">
        <f>('Pivot Table for Data Exchange'!$L$447)*100</f>
        <v>4.0629131776112826E-2</v>
      </c>
      <c r="G302" s="335">
        <f>('Pivot Table for Data Exchange'!$L$450)*100</f>
        <v>4.278339393271632</v>
      </c>
      <c r="H302" s="327">
        <f>('Pivot Table for Data Exchange'!$L$453)*100</f>
        <v>9.3424048773321583E-2</v>
      </c>
      <c r="I302" s="298"/>
      <c r="J302" s="366"/>
      <c r="K302" s="366"/>
      <c r="L302" s="366"/>
      <c r="M302" s="366"/>
      <c r="N302" s="366"/>
      <c r="O302" s="366"/>
      <c r="P302" s="366"/>
      <c r="Q302" s="332">
        <f t="shared" si="65"/>
        <v>100</v>
      </c>
      <c r="R302" s="332"/>
      <c r="S302" s="333"/>
      <c r="T302" s="333"/>
      <c r="U302" s="333"/>
      <c r="V302" s="333"/>
      <c r="W302" s="333"/>
      <c r="X302" s="333"/>
      <c r="Y302" s="333"/>
      <c r="Z302" s="333"/>
      <c r="AA302" s="333"/>
      <c r="AB302" s="333"/>
      <c r="AC302" s="333"/>
      <c r="AD302" s="333"/>
      <c r="AE302" s="333"/>
      <c r="AF302" s="333"/>
      <c r="AG302" s="333"/>
      <c r="AH302" s="333"/>
      <c r="AI302" s="333"/>
      <c r="AJ302" s="333"/>
      <c r="AK302" s="333"/>
      <c r="AL302" s="333"/>
      <c r="AM302" s="333"/>
      <c r="AN302" s="333"/>
      <c r="AO302" s="333"/>
    </row>
    <row r="303" spans="1:41" ht="15.75" customHeight="1">
      <c r="A303" s="298" t="s">
        <v>838</v>
      </c>
      <c r="B303" s="327">
        <f>('Pivot Table for Data Exchange'!$L$474)*100</f>
        <v>60.654816343639638</v>
      </c>
      <c r="C303" s="327">
        <f>('Pivot Table for Data Exchange'!$L$477)*100</f>
        <v>11.885943106769899</v>
      </c>
      <c r="D303" s="328">
        <f>SUM(E303:G303)</f>
        <v>27.459240549590465</v>
      </c>
      <c r="E303" s="327">
        <f>('Pivot Table for Data Exchange'!$L$480)*100</f>
        <v>27.41932228307401</v>
      </c>
      <c r="F303" s="327">
        <f>('Pivot Table for Data Exchange'!$L$483)*100</f>
        <v>3.707676006339107E-2</v>
      </c>
      <c r="G303" s="335">
        <f>('Pivot Table for Data Exchange'!$L$486)*100</f>
        <v>2.8415064530611547E-3</v>
      </c>
      <c r="H303" s="327">
        <f>('Pivot Table for Data Exchange'!$L$489)*100</f>
        <v>0</v>
      </c>
      <c r="I303" s="298"/>
      <c r="J303" s="366"/>
      <c r="K303" s="366"/>
      <c r="L303" s="366"/>
      <c r="M303" s="366"/>
      <c r="N303" s="366"/>
      <c r="O303" s="366"/>
      <c r="P303" s="366"/>
      <c r="Q303" s="332">
        <f t="shared" si="65"/>
        <v>100</v>
      </c>
      <c r="R303" s="332"/>
      <c r="S303" s="333"/>
      <c r="T303" s="333"/>
      <c r="U303" s="333"/>
      <c r="V303" s="333"/>
      <c r="W303" s="333"/>
      <c r="X303" s="333"/>
      <c r="Y303" s="333"/>
      <c r="Z303" s="333"/>
      <c r="AA303" s="333"/>
      <c r="AB303" s="333"/>
      <c r="AC303" s="333"/>
      <c r="AD303" s="333"/>
      <c r="AE303" s="333"/>
      <c r="AF303" s="333"/>
      <c r="AG303" s="333"/>
      <c r="AH303" s="333"/>
      <c r="AI303" s="333"/>
      <c r="AJ303" s="333"/>
      <c r="AK303" s="333"/>
      <c r="AL303" s="333"/>
      <c r="AM303" s="333"/>
      <c r="AN303" s="333"/>
      <c r="AO303" s="333"/>
    </row>
    <row r="304" spans="1:41" ht="15.75" customHeight="1">
      <c r="A304" s="298" t="s">
        <v>839</v>
      </c>
      <c r="B304" s="327">
        <f>('Pivot Table for Data Exchange'!$L$510)*100</f>
        <v>63.91878192381175</v>
      </c>
      <c r="C304" s="327">
        <f>('Pivot Table for Data Exchange'!$L$513)*100</f>
        <v>8.1955312306969308</v>
      </c>
      <c r="D304" s="328">
        <f t="shared" ref="D304" si="70">SUM(E304:G304)</f>
        <v>27.885686845491318</v>
      </c>
      <c r="E304" s="327">
        <f>('Pivot Table for Data Exchange'!$L$516)*100</f>
        <v>27.805139823473763</v>
      </c>
      <c r="F304" s="327">
        <f>('Pivot Table for Data Exchange'!$L$519)*100</f>
        <v>8.0547022017554121E-2</v>
      </c>
      <c r="G304" s="335">
        <f>('Pivot Table for Data Exchange'!$L$522)*100</f>
        <v>0</v>
      </c>
      <c r="H304" s="327">
        <f>('Pivot Table for Data Exchange'!$L$525)*100</f>
        <v>0</v>
      </c>
      <c r="I304" s="298"/>
      <c r="J304" s="366"/>
      <c r="K304" s="366"/>
      <c r="L304" s="366"/>
      <c r="M304" s="366"/>
      <c r="N304" s="366"/>
      <c r="O304" s="366"/>
      <c r="P304" s="366"/>
      <c r="Q304" s="332">
        <f t="shared" si="65"/>
        <v>100</v>
      </c>
      <c r="R304" s="332"/>
      <c r="S304" s="333"/>
      <c r="T304" s="333"/>
      <c r="U304" s="333"/>
      <c r="V304" s="333"/>
      <c r="W304" s="333"/>
      <c r="X304" s="333"/>
      <c r="Y304" s="333"/>
      <c r="Z304" s="333"/>
      <c r="AA304" s="333"/>
      <c r="AB304" s="333"/>
      <c r="AC304" s="333"/>
      <c r="AD304" s="333"/>
      <c r="AE304" s="333"/>
      <c r="AF304" s="333"/>
      <c r="AG304" s="333"/>
      <c r="AH304" s="333"/>
      <c r="AI304" s="333"/>
      <c r="AJ304" s="333"/>
      <c r="AK304" s="333"/>
      <c r="AL304" s="333"/>
      <c r="AM304" s="333"/>
      <c r="AN304" s="333"/>
      <c r="AO304" s="333"/>
    </row>
    <row r="305" spans="1:41" ht="15.75" customHeight="1">
      <c r="A305" s="304" t="s">
        <v>840</v>
      </c>
      <c r="B305" s="340">
        <f>('Pivot Table for Data Exchange'!$L$546)*100</f>
        <v>0</v>
      </c>
      <c r="C305" s="340">
        <f>('Pivot Table for Data Exchange'!$L$549)*100</f>
        <v>0</v>
      </c>
      <c r="D305" s="341">
        <f>SUM(E305:G305)</f>
        <v>0</v>
      </c>
      <c r="E305" s="340">
        <f>('Pivot Table for Data Exchange'!$L$552)*100</f>
        <v>0</v>
      </c>
      <c r="F305" s="340">
        <f>('Pivot Table for Data Exchange'!$L$555)*100</f>
        <v>0</v>
      </c>
      <c r="G305" s="342">
        <f>('Pivot Table for Data Exchange'!$L$558)*100</f>
        <v>0</v>
      </c>
      <c r="H305" s="340">
        <f>('Pivot Table for Data Exchange'!$L$561)*100</f>
        <v>0</v>
      </c>
      <c r="I305" s="298"/>
      <c r="J305" s="366"/>
      <c r="K305" s="366"/>
      <c r="L305" s="366"/>
      <c r="M305" s="366"/>
      <c r="N305" s="366"/>
      <c r="O305" s="366"/>
      <c r="P305" s="366"/>
      <c r="Q305" s="332">
        <f t="shared" si="65"/>
        <v>0</v>
      </c>
      <c r="R305" s="332"/>
      <c r="S305" s="333"/>
      <c r="T305" s="333"/>
      <c r="U305" s="333"/>
      <c r="V305" s="333"/>
      <c r="W305" s="333"/>
      <c r="X305" s="333"/>
      <c r="Y305" s="333"/>
      <c r="Z305" s="333"/>
      <c r="AA305" s="333"/>
      <c r="AB305" s="333"/>
      <c r="AC305" s="333"/>
      <c r="AD305" s="333"/>
      <c r="AE305" s="333"/>
      <c r="AF305" s="333"/>
      <c r="AG305" s="333"/>
      <c r="AH305" s="333"/>
      <c r="AI305" s="333"/>
      <c r="AJ305" s="333"/>
      <c r="AK305" s="333"/>
      <c r="AL305" s="333"/>
      <c r="AM305" s="333"/>
      <c r="AN305" s="333"/>
      <c r="AO305" s="333"/>
    </row>
    <row r="306" spans="1:41" s="345" customFormat="1" ht="13.5" customHeight="1">
      <c r="A306" s="346" t="s">
        <v>866</v>
      </c>
      <c r="B306" s="347"/>
      <c r="C306" s="347"/>
      <c r="D306" s="348"/>
      <c r="E306" s="347"/>
      <c r="F306" s="348"/>
      <c r="G306" s="348"/>
      <c r="H306" s="347"/>
      <c r="I306" s="356"/>
      <c r="J306" s="347"/>
      <c r="K306" s="347"/>
      <c r="L306" s="348"/>
      <c r="M306" s="347"/>
      <c r="N306" s="348"/>
      <c r="O306" s="348"/>
      <c r="P306" s="347"/>
      <c r="Q306" s="332">
        <f t="shared" si="65"/>
        <v>0</v>
      </c>
      <c r="R306" s="367"/>
      <c r="S306" s="349"/>
      <c r="T306" s="349"/>
      <c r="U306" s="349"/>
      <c r="V306" s="349"/>
      <c r="W306" s="349"/>
      <c r="X306" s="349"/>
      <c r="Y306" s="349"/>
      <c r="Z306" s="349"/>
      <c r="AA306" s="349"/>
      <c r="AB306" s="349"/>
      <c r="AC306" s="349"/>
      <c r="AD306" s="349"/>
      <c r="AE306" s="349"/>
      <c r="AF306" s="349"/>
      <c r="AG306" s="349"/>
      <c r="AH306" s="349"/>
      <c r="AI306" s="349"/>
      <c r="AJ306" s="349"/>
      <c r="AK306" s="349"/>
      <c r="AL306" s="349"/>
      <c r="AM306" s="349"/>
      <c r="AN306" s="349"/>
      <c r="AO306" s="349"/>
    </row>
    <row r="307" spans="1:41" s="345" customFormat="1" ht="24" customHeight="1">
      <c r="A307" s="455" t="s">
        <v>881</v>
      </c>
      <c r="B307" s="467"/>
      <c r="C307" s="467"/>
      <c r="D307" s="467"/>
      <c r="E307" s="467"/>
      <c r="F307" s="467"/>
      <c r="G307" s="467"/>
      <c r="H307" s="467"/>
      <c r="I307" s="356"/>
      <c r="P307" s="358"/>
      <c r="Q307" s="332">
        <f t="shared" si="65"/>
        <v>0</v>
      </c>
      <c r="R307" s="368"/>
    </row>
    <row r="308" spans="1:41" s="345" customFormat="1" ht="13.5" customHeight="1">
      <c r="A308" s="356"/>
      <c r="I308" s="356"/>
      <c r="Q308" s="332">
        <f t="shared" si="65"/>
        <v>0</v>
      </c>
      <c r="R308" s="368"/>
    </row>
    <row r="309" spans="1:41" s="345" customFormat="1">
      <c r="H309" s="351" t="s">
        <v>980</v>
      </c>
      <c r="I309" s="372"/>
      <c r="Q309" s="332">
        <f t="shared" si="65"/>
        <v>0</v>
      </c>
      <c r="R309" s="368"/>
    </row>
    <row r="310" spans="1:41" ht="18">
      <c r="A310" s="293" t="s">
        <v>885</v>
      </c>
      <c r="B310" s="294"/>
      <c r="C310" s="294"/>
      <c r="D310" s="294"/>
      <c r="E310" s="294"/>
      <c r="F310" s="294"/>
      <c r="G310" s="294"/>
      <c r="H310" s="294"/>
      <c r="Q310" s="332">
        <f t="shared" si="65"/>
        <v>0</v>
      </c>
    </row>
    <row r="311" spans="1:41">
      <c r="A311" s="299"/>
      <c r="B311" s="295"/>
      <c r="C311" s="295"/>
      <c r="D311" s="295"/>
      <c r="E311" s="295"/>
      <c r="F311" s="295"/>
      <c r="G311" s="295"/>
      <c r="H311" s="295"/>
      <c r="Q311" s="332">
        <f t="shared" si="65"/>
        <v>0</v>
      </c>
    </row>
    <row r="312" spans="1:41" ht="15.75">
      <c r="A312" s="301" t="s">
        <v>846</v>
      </c>
      <c r="B312" s="295"/>
      <c r="C312" s="295"/>
      <c r="D312" s="295"/>
      <c r="E312" s="295"/>
      <c r="F312" s="295"/>
      <c r="G312" s="295"/>
      <c r="H312" s="295"/>
      <c r="Q312" s="332">
        <f t="shared" si="65"/>
        <v>0</v>
      </c>
    </row>
    <row r="313" spans="1:41" ht="15.75">
      <c r="A313" s="301" t="s">
        <v>901</v>
      </c>
      <c r="B313" s="295"/>
      <c r="C313" s="295"/>
      <c r="D313" s="295"/>
      <c r="E313" s="295"/>
      <c r="F313" s="295"/>
      <c r="G313" s="295"/>
      <c r="H313" s="295"/>
      <c r="Q313" s="332">
        <f t="shared" si="65"/>
        <v>0</v>
      </c>
    </row>
    <row r="314" spans="1:41">
      <c r="A314" s="304"/>
      <c r="B314" s="305"/>
      <c r="C314" s="305"/>
      <c r="D314" s="305"/>
      <c r="E314" s="305"/>
      <c r="F314" s="305"/>
      <c r="G314" s="305"/>
      <c r="H314" s="305"/>
      <c r="Q314" s="332">
        <f t="shared" si="65"/>
        <v>0</v>
      </c>
    </row>
    <row r="315" spans="1:41">
      <c r="A315" s="309"/>
      <c r="B315" s="310" t="s">
        <v>848</v>
      </c>
      <c r="C315" s="310"/>
      <c r="D315" s="310"/>
      <c r="E315" s="310"/>
      <c r="F315" s="310"/>
      <c r="G315" s="310"/>
      <c r="H315" s="311"/>
      <c r="Q315" s="332">
        <f t="shared" si="65"/>
        <v>0</v>
      </c>
    </row>
    <row r="316" spans="1:41">
      <c r="A316" s="309"/>
      <c r="B316" s="310" t="s">
        <v>849</v>
      </c>
      <c r="C316" s="310"/>
      <c r="D316" s="450" t="s">
        <v>850</v>
      </c>
      <c r="E316" s="448"/>
      <c r="F316" s="448"/>
      <c r="G316" s="448"/>
      <c r="H316" s="317" t="s">
        <v>740</v>
      </c>
      <c r="Q316" s="332">
        <f t="shared" si="65"/>
        <v>0</v>
      </c>
    </row>
    <row r="317" spans="1:41" ht="36">
      <c r="A317" s="309"/>
      <c r="B317" s="318" t="s">
        <v>851</v>
      </c>
      <c r="C317" s="319" t="s">
        <v>852</v>
      </c>
      <c r="D317" s="320" t="s">
        <v>853</v>
      </c>
      <c r="E317" s="321" t="s">
        <v>8</v>
      </c>
      <c r="F317" s="318" t="s">
        <v>854</v>
      </c>
      <c r="G317" s="322" t="s">
        <v>864</v>
      </c>
      <c r="H317" s="323" t="s">
        <v>856</v>
      </c>
      <c r="Q317" s="332">
        <f t="shared" si="65"/>
        <v>0</v>
      </c>
    </row>
    <row r="318" spans="1:41" ht="15.75" customHeight="1">
      <c r="A318" s="353" t="s">
        <v>825</v>
      </c>
      <c r="B318" s="327">
        <f>('Pivot Table for Data Exchange'!$M$6)*100</f>
        <v>71.705992084636023</v>
      </c>
      <c r="C318" s="327">
        <f>('Pivot Table for Data Exchange'!$M$9)*100</f>
        <v>8.6246431086740198</v>
      </c>
      <c r="D318" s="328">
        <f>SUM(E318:G318)</f>
        <v>19.493672809194585</v>
      </c>
      <c r="E318" s="327">
        <f>('Pivot Table for Data Exchange'!$M$12)*100</f>
        <v>19.113639841171832</v>
      </c>
      <c r="F318" s="327">
        <f>('Pivot Table for Data Exchange'!$M$15)*100</f>
        <v>0.38003296802275421</v>
      </c>
      <c r="G318" s="331">
        <f>('Pivot Table for Data Exchange'!$M$18)*100</f>
        <v>0</v>
      </c>
      <c r="H318" s="336">
        <f>('Pivot Table for Data Exchange'!$M$21)*100</f>
        <v>0.17569199749538522</v>
      </c>
      <c r="I318" s="298"/>
      <c r="J318" s="366"/>
      <c r="K318" s="366"/>
      <c r="L318" s="366"/>
      <c r="M318" s="366"/>
      <c r="N318" s="366"/>
      <c r="O318" s="366"/>
      <c r="P318" s="366"/>
      <c r="Q318" s="332">
        <f t="shared" si="65"/>
        <v>100.00000000000003</v>
      </c>
      <c r="R318" s="332"/>
      <c r="S318" s="333"/>
      <c r="T318" s="333"/>
      <c r="U318" s="333"/>
      <c r="V318" s="333"/>
      <c r="W318" s="333"/>
      <c r="X318" s="333"/>
      <c r="Y318" s="333"/>
      <c r="Z318" s="333"/>
      <c r="AA318" s="333"/>
      <c r="AB318" s="333"/>
      <c r="AC318" s="333"/>
      <c r="AD318" s="333"/>
      <c r="AE318" s="333"/>
      <c r="AF318" s="333"/>
      <c r="AG318" s="333"/>
      <c r="AH318" s="333"/>
      <c r="AI318" s="333"/>
      <c r="AJ318" s="333"/>
      <c r="AK318" s="333"/>
      <c r="AL318" s="333"/>
      <c r="AM318" s="333"/>
      <c r="AN318" s="333"/>
      <c r="AO318" s="333"/>
    </row>
    <row r="319" spans="1:41" ht="15.75" customHeight="1">
      <c r="A319" s="298" t="s">
        <v>826</v>
      </c>
      <c r="B319" s="327">
        <f>('Pivot Table for Data Exchange'!$M$42)*100</f>
        <v>64.861221176334155</v>
      </c>
      <c r="C319" s="327">
        <f>('Pivot Table for Data Exchange'!$M$45)*100</f>
        <v>4.7137445155304718</v>
      </c>
      <c r="D319" s="328">
        <f t="shared" ref="D319:D321" si="71">SUM(E319:G319)</f>
        <v>30.42503430813538</v>
      </c>
      <c r="E319" s="327">
        <f>('Pivot Table for Data Exchange'!$M$48)*100</f>
        <v>30.391692599107024</v>
      </c>
      <c r="F319" s="327">
        <f>('Pivot Table for Data Exchange'!$M$51)*100</f>
        <v>3.3341709028354947E-2</v>
      </c>
      <c r="G319" s="335">
        <f>('Pivot Table for Data Exchange'!$M$54)*100</f>
        <v>0</v>
      </c>
      <c r="H319" s="327">
        <f>('Pivot Table for Data Exchange'!$M$57)*100</f>
        <v>0</v>
      </c>
      <c r="I319" s="298"/>
      <c r="J319" s="366"/>
      <c r="K319" s="366"/>
      <c r="L319" s="366"/>
      <c r="M319" s="366"/>
      <c r="N319" s="366"/>
      <c r="O319" s="366"/>
      <c r="P319" s="366"/>
      <c r="Q319" s="332">
        <f t="shared" si="65"/>
        <v>100.00000000000001</v>
      </c>
      <c r="R319" s="332"/>
      <c r="S319" s="333"/>
      <c r="T319" s="333"/>
      <c r="U319" s="333"/>
      <c r="V319" s="333"/>
      <c r="W319" s="333"/>
      <c r="X319" s="333"/>
      <c r="Y319" s="333"/>
      <c r="Z319" s="333"/>
      <c r="AA319" s="333"/>
      <c r="AB319" s="333"/>
      <c r="AC319" s="333"/>
      <c r="AD319" s="333"/>
      <c r="AE319" s="333"/>
      <c r="AF319" s="333"/>
      <c r="AG319" s="333"/>
      <c r="AH319" s="333"/>
      <c r="AI319" s="333"/>
      <c r="AJ319" s="333"/>
      <c r="AK319" s="333"/>
      <c r="AL319" s="333"/>
      <c r="AM319" s="333"/>
      <c r="AN319" s="333"/>
      <c r="AO319" s="333"/>
    </row>
    <row r="320" spans="1:41" ht="15.75" customHeight="1">
      <c r="A320" s="298" t="s">
        <v>827</v>
      </c>
      <c r="B320" s="327">
        <f>('Pivot Table for Data Exchange'!$M$78)*100</f>
        <v>83.456419910633556</v>
      </c>
      <c r="C320" s="327">
        <f>('Pivot Table for Data Exchange'!$M$81)*100</f>
        <v>0</v>
      </c>
      <c r="D320" s="328">
        <f t="shared" si="71"/>
        <v>16.543580089366436</v>
      </c>
      <c r="E320" s="327">
        <f>('Pivot Table for Data Exchange'!$M$84)*100</f>
        <v>16.020477637928277</v>
      </c>
      <c r="F320" s="327">
        <f>('Pivot Table for Data Exchange'!$M$87)*100</f>
        <v>0.32628794446035991</v>
      </c>
      <c r="G320" s="335">
        <f>('Pivot Table for Data Exchange'!$M$90)*100</f>
        <v>0.19681450697779979</v>
      </c>
      <c r="H320" s="327">
        <f>('Pivot Table for Data Exchange'!$M$93)*100</f>
        <v>0</v>
      </c>
      <c r="I320" s="298"/>
      <c r="J320" s="366"/>
      <c r="K320" s="366"/>
      <c r="L320" s="366"/>
      <c r="M320" s="366"/>
      <c r="N320" s="366"/>
      <c r="O320" s="366"/>
      <c r="P320" s="366"/>
      <c r="Q320" s="332">
        <f t="shared" si="65"/>
        <v>100</v>
      </c>
      <c r="R320" s="332"/>
      <c r="S320" s="333"/>
      <c r="T320" s="307"/>
      <c r="U320" s="333"/>
      <c r="V320" s="333"/>
      <c r="W320" s="333"/>
      <c r="X320" s="333"/>
      <c r="Y320" s="333"/>
      <c r="Z320" s="333"/>
      <c r="AA320" s="333"/>
      <c r="AB320" s="333"/>
      <c r="AC320" s="333"/>
      <c r="AD320" s="333"/>
      <c r="AE320" s="333"/>
      <c r="AF320" s="333"/>
      <c r="AG320" s="333"/>
      <c r="AH320" s="333"/>
      <c r="AI320" s="333"/>
      <c r="AJ320" s="333"/>
      <c r="AK320" s="333"/>
      <c r="AL320" s="333"/>
      <c r="AM320" s="333"/>
      <c r="AN320" s="333"/>
      <c r="AO320" s="333"/>
    </row>
    <row r="321" spans="1:41" ht="15.75" customHeight="1">
      <c r="A321" s="298" t="s">
        <v>865</v>
      </c>
      <c r="B321" s="327">
        <f>('Pivot Table for Data Exchange'!$M$114)*100</f>
        <v>0</v>
      </c>
      <c r="C321" s="327">
        <f>('Pivot Table for Data Exchange'!$M$117)*100</f>
        <v>0</v>
      </c>
      <c r="D321" s="328">
        <f t="shared" si="71"/>
        <v>0</v>
      </c>
      <c r="E321" s="327">
        <f>('Pivot Table for Data Exchange'!$M$120)*100</f>
        <v>0</v>
      </c>
      <c r="F321" s="327">
        <f>('Pivot Table for Data Exchange'!$M$123)*100</f>
        <v>0</v>
      </c>
      <c r="G321" s="334">
        <f>('Pivot Table for Data Exchange'!$M$126)*100</f>
        <v>0</v>
      </c>
      <c r="H321" s="327">
        <f>('Pivot Table for Data Exchange'!$M$129)*100</f>
        <v>0</v>
      </c>
      <c r="I321" s="298"/>
      <c r="J321" s="366"/>
      <c r="K321" s="366"/>
      <c r="L321" s="366"/>
      <c r="M321" s="366"/>
      <c r="N321" s="366"/>
      <c r="O321" s="366"/>
      <c r="P321" s="366"/>
      <c r="Q321" s="332">
        <f t="shared" si="65"/>
        <v>0</v>
      </c>
      <c r="R321" s="332"/>
      <c r="S321" s="333"/>
      <c r="U321" s="333"/>
      <c r="V321" s="333"/>
      <c r="W321" s="333"/>
      <c r="X321" s="333"/>
      <c r="Y321" s="333"/>
      <c r="Z321" s="333"/>
      <c r="AA321" s="333"/>
      <c r="AB321" s="333"/>
      <c r="AC321" s="333"/>
      <c r="AD321" s="333"/>
      <c r="AE321" s="333"/>
      <c r="AF321" s="333"/>
      <c r="AG321" s="333"/>
      <c r="AH321" s="333"/>
      <c r="AI321" s="333"/>
      <c r="AJ321" s="333"/>
      <c r="AK321" s="333"/>
      <c r="AL321" s="333"/>
      <c r="AM321" s="333"/>
      <c r="AN321" s="333"/>
      <c r="AO321" s="333"/>
    </row>
    <row r="322" spans="1:41" ht="15.75" customHeight="1">
      <c r="B322" s="327"/>
      <c r="C322" s="327"/>
      <c r="D322" s="328"/>
      <c r="E322" s="327"/>
      <c r="F322" s="327"/>
      <c r="G322" s="335"/>
      <c r="H322" s="327"/>
      <c r="I322" s="298"/>
      <c r="J322" s="366"/>
      <c r="K322" s="366"/>
      <c r="L322" s="366"/>
      <c r="M322" s="366"/>
      <c r="N322" s="366"/>
      <c r="O322" s="366"/>
      <c r="P322" s="366"/>
      <c r="Q322" s="332">
        <f t="shared" si="65"/>
        <v>0</v>
      </c>
      <c r="R322" s="332"/>
      <c r="S322" s="333"/>
      <c r="U322" s="333"/>
      <c r="V322" s="333"/>
      <c r="W322" s="333"/>
      <c r="X322" s="333"/>
      <c r="Y322" s="333"/>
      <c r="Z322" s="333"/>
      <c r="AA322" s="333"/>
      <c r="AB322" s="333"/>
      <c r="AC322" s="333"/>
      <c r="AD322" s="333"/>
      <c r="AE322" s="333"/>
      <c r="AF322" s="333"/>
      <c r="AG322" s="333"/>
      <c r="AH322" s="333"/>
      <c r="AI322" s="333"/>
      <c r="AJ322" s="333"/>
      <c r="AK322" s="333"/>
      <c r="AL322" s="333"/>
      <c r="AM322" s="333"/>
      <c r="AN322" s="333"/>
      <c r="AO322" s="333"/>
    </row>
    <row r="323" spans="1:41" ht="15.75" customHeight="1">
      <c r="A323" s="298" t="s">
        <v>829</v>
      </c>
      <c r="B323" s="327">
        <f>('Pivot Table for Data Exchange'!$M$150)*100</f>
        <v>0</v>
      </c>
      <c r="C323" s="327">
        <f>('Pivot Table for Data Exchange'!$M$153)*100</f>
        <v>0</v>
      </c>
      <c r="D323" s="328">
        <f t="shared" ref="D323:D326" si="72">SUM(E323:G323)</f>
        <v>0</v>
      </c>
      <c r="E323" s="327">
        <f>('Pivot Table for Data Exchange'!$M$156)*100</f>
        <v>0</v>
      </c>
      <c r="F323" s="327">
        <f>('Pivot Table for Data Exchange'!$M$159)*100</f>
        <v>0</v>
      </c>
      <c r="G323" s="335">
        <f>('Pivot Table for Data Exchange'!$M$162)*100</f>
        <v>0</v>
      </c>
      <c r="H323" s="327">
        <f>('Pivot Table for Data Exchange'!$M$165)*100</f>
        <v>0</v>
      </c>
      <c r="I323" s="298"/>
      <c r="J323" s="366"/>
      <c r="K323" s="366"/>
      <c r="L323" s="366"/>
      <c r="M323" s="366"/>
      <c r="N323" s="366"/>
      <c r="O323" s="366"/>
      <c r="P323" s="366"/>
      <c r="Q323" s="332">
        <f t="shared" si="65"/>
        <v>0</v>
      </c>
      <c r="R323" s="332"/>
      <c r="S323" s="333"/>
      <c r="T323" s="333"/>
      <c r="U323" s="333"/>
      <c r="V323" s="333"/>
      <c r="W323" s="333"/>
      <c r="X323" s="333"/>
      <c r="Y323" s="333"/>
      <c r="Z323" s="333"/>
      <c r="AA323" s="333"/>
      <c r="AB323" s="333"/>
      <c r="AC323" s="333"/>
      <c r="AD323" s="333"/>
      <c r="AE323" s="333"/>
      <c r="AF323" s="333"/>
      <c r="AG323" s="333"/>
      <c r="AH323" s="333"/>
      <c r="AI323" s="333"/>
      <c r="AJ323" s="333"/>
      <c r="AK323" s="333"/>
      <c r="AL323" s="333"/>
      <c r="AM323" s="333"/>
      <c r="AN323" s="333"/>
      <c r="AO323" s="333"/>
    </row>
    <row r="324" spans="1:41" ht="15.75" customHeight="1">
      <c r="A324" s="298" t="s">
        <v>830</v>
      </c>
      <c r="B324" s="327">
        <f>('Pivot Table for Data Exchange'!$M$186)*100</f>
        <v>50.717684308874169</v>
      </c>
      <c r="C324" s="327">
        <f>('Pivot Table for Data Exchange'!$M$189)*100</f>
        <v>4.5526584424797134</v>
      </c>
      <c r="D324" s="328">
        <f t="shared" si="72"/>
        <v>44.72965724864612</v>
      </c>
      <c r="E324" s="327">
        <f>('Pivot Table for Data Exchange'!$M$192)*100</f>
        <v>44.72965724864612</v>
      </c>
      <c r="F324" s="327">
        <f>('Pivot Table for Data Exchange'!$M$195)*100</f>
        <v>0</v>
      </c>
      <c r="G324" s="335">
        <f>('Pivot Table for Data Exchange'!$M$198)*100</f>
        <v>0</v>
      </c>
      <c r="H324" s="327">
        <f>('Pivot Table for Data Exchange'!$M$201)*100</f>
        <v>0</v>
      </c>
      <c r="I324" s="298"/>
      <c r="J324" s="366"/>
      <c r="K324" s="366"/>
      <c r="L324" s="366"/>
      <c r="M324" s="366"/>
      <c r="N324" s="366"/>
      <c r="O324" s="366"/>
      <c r="P324" s="366"/>
      <c r="Q324" s="332">
        <f t="shared" si="65"/>
        <v>100</v>
      </c>
      <c r="R324" s="332"/>
      <c r="S324" s="333"/>
      <c r="T324" s="333"/>
      <c r="U324" s="333"/>
      <c r="V324" s="333"/>
      <c r="W324" s="333"/>
      <c r="X324" s="333"/>
      <c r="Y324" s="333"/>
      <c r="Z324" s="333"/>
      <c r="AA324" s="333"/>
      <c r="AB324" s="333"/>
      <c r="AC324" s="333"/>
      <c r="AD324" s="333"/>
      <c r="AE324" s="333"/>
      <c r="AF324" s="333"/>
      <c r="AG324" s="333"/>
      <c r="AH324" s="333"/>
      <c r="AI324" s="333"/>
      <c r="AJ324" s="333"/>
      <c r="AK324" s="333"/>
      <c r="AL324" s="333"/>
      <c r="AM324" s="333"/>
      <c r="AN324" s="333"/>
      <c r="AO324" s="333"/>
    </row>
    <row r="325" spans="1:41" ht="15.75" customHeight="1">
      <c r="A325" s="298" t="s">
        <v>831</v>
      </c>
      <c r="B325" s="327">
        <f>('Pivot Table for Data Exchange'!$M$222)*100</f>
        <v>84.076742200206994</v>
      </c>
      <c r="C325" s="327">
        <f>('Pivot Table for Data Exchange'!$M$225)*100</f>
        <v>0</v>
      </c>
      <c r="D325" s="328">
        <f t="shared" si="72"/>
        <v>15.923257799793006</v>
      </c>
      <c r="E325" s="327">
        <f>('Pivot Table for Data Exchange'!$M$228)*100</f>
        <v>15.923257799793006</v>
      </c>
      <c r="F325" s="327">
        <f>('Pivot Table for Data Exchange'!$M$231)*100</f>
        <v>0</v>
      </c>
      <c r="G325" s="335">
        <f>('Pivot Table for Data Exchange'!$M$234)*100</f>
        <v>0</v>
      </c>
      <c r="H325" s="327">
        <f>('Pivot Table for Data Exchange'!$M$237)*100</f>
        <v>0</v>
      </c>
      <c r="I325" s="298"/>
      <c r="J325" s="366"/>
      <c r="K325" s="366"/>
      <c r="L325" s="366"/>
      <c r="M325" s="366"/>
      <c r="N325" s="366"/>
      <c r="O325" s="366"/>
      <c r="P325" s="366"/>
      <c r="Q325" s="332">
        <f t="shared" si="65"/>
        <v>100</v>
      </c>
      <c r="R325" s="332"/>
      <c r="S325" s="333"/>
      <c r="T325" s="307"/>
      <c r="U325" s="333"/>
      <c r="V325" s="333"/>
      <c r="W325" s="333"/>
      <c r="X325" s="333"/>
      <c r="Y325" s="333"/>
      <c r="Z325" s="333"/>
      <c r="AA325" s="333"/>
      <c r="AB325" s="333"/>
      <c r="AC325" s="333"/>
      <c r="AD325" s="333"/>
      <c r="AE325" s="333"/>
      <c r="AF325" s="333"/>
      <c r="AG325" s="333"/>
      <c r="AH325" s="333"/>
      <c r="AI325" s="333"/>
      <c r="AJ325" s="333"/>
      <c r="AK325" s="333"/>
      <c r="AL325" s="333"/>
      <c r="AM325" s="333"/>
      <c r="AN325" s="333"/>
      <c r="AO325" s="333"/>
    </row>
    <row r="326" spans="1:41" ht="15.75" customHeight="1">
      <c r="A326" s="298" t="s">
        <v>832</v>
      </c>
      <c r="B326" s="327">
        <f>('Pivot Table for Data Exchange'!$M$258)*100</f>
        <v>67.982515747203152</v>
      </c>
      <c r="C326" s="327">
        <f>('Pivot Table for Data Exchange'!$M$261)*100</f>
        <v>5.6288260645028796</v>
      </c>
      <c r="D326" s="328">
        <f t="shared" si="72"/>
        <v>26.376376527531562</v>
      </c>
      <c r="E326" s="327">
        <f>('Pivot Table for Data Exchange'!$M$264)*100</f>
        <v>25.961820142124992</v>
      </c>
      <c r="F326" s="327">
        <f>('Pivot Table for Data Exchange'!$M$267)*100</f>
        <v>0.41455638540656825</v>
      </c>
      <c r="G326" s="335">
        <f>('Pivot Table for Data Exchange'!$M$270)*100</f>
        <v>0</v>
      </c>
      <c r="H326" s="339">
        <f>('Pivot Table for Data Exchange'!$M$273)*100</f>
        <v>1.2281660762409261E-2</v>
      </c>
      <c r="I326" s="298"/>
      <c r="J326" s="366"/>
      <c r="K326" s="366"/>
      <c r="L326" s="366"/>
      <c r="M326" s="366"/>
      <c r="N326" s="366"/>
      <c r="O326" s="366"/>
      <c r="P326" s="366"/>
      <c r="Q326" s="332">
        <f t="shared" si="65"/>
        <v>100</v>
      </c>
      <c r="R326" s="332"/>
      <c r="S326" s="333"/>
      <c r="U326" s="333"/>
      <c r="V326" s="333"/>
      <c r="W326" s="333"/>
      <c r="X326" s="333"/>
      <c r="Y326" s="333"/>
      <c r="Z326" s="333"/>
      <c r="AA326" s="333"/>
      <c r="AB326" s="333"/>
      <c r="AC326" s="333"/>
      <c r="AD326" s="333"/>
      <c r="AE326" s="333"/>
      <c r="AF326" s="333"/>
      <c r="AG326" s="333"/>
      <c r="AH326" s="333"/>
      <c r="AI326" s="333"/>
      <c r="AJ326" s="333"/>
      <c r="AK326" s="333"/>
      <c r="AL326" s="333"/>
      <c r="AM326" s="333"/>
      <c r="AN326" s="333"/>
      <c r="AO326" s="333"/>
    </row>
    <row r="327" spans="1:41" ht="12" customHeight="1">
      <c r="B327" s="327"/>
      <c r="C327" s="327"/>
      <c r="D327" s="328"/>
      <c r="E327" s="327"/>
      <c r="F327" s="327"/>
      <c r="G327" s="335"/>
      <c r="H327" s="327"/>
      <c r="I327" s="298"/>
      <c r="J327" s="366"/>
      <c r="K327" s="366"/>
      <c r="L327" s="366"/>
      <c r="M327" s="366"/>
      <c r="N327" s="366"/>
      <c r="O327" s="366"/>
      <c r="P327" s="366"/>
      <c r="Q327" s="332">
        <f t="shared" si="65"/>
        <v>0</v>
      </c>
      <c r="R327" s="332"/>
      <c r="S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row>
    <row r="328" spans="1:41" ht="15.75" customHeight="1">
      <c r="A328" s="298" t="s">
        <v>880</v>
      </c>
      <c r="B328" s="327">
        <f>('Pivot Table for Data Exchange'!$M$294)*100</f>
        <v>72.541588311876168</v>
      </c>
      <c r="C328" s="327">
        <f>('Pivot Table for Data Exchange'!$M$297)*100</f>
        <v>2.8266901621451019</v>
      </c>
      <c r="D328" s="328">
        <f t="shared" ref="D328:D330" si="73">SUM(E328:G328)</f>
        <v>24.631721525978723</v>
      </c>
      <c r="E328" s="327">
        <f>('Pivot Table for Data Exchange'!$M$300)*100</f>
        <v>24.631721525978723</v>
      </c>
      <c r="F328" s="327">
        <f>('Pivot Table for Data Exchange'!$M$303)*100</f>
        <v>0</v>
      </c>
      <c r="G328" s="335">
        <f>('Pivot Table for Data Exchange'!$M$306)*100</f>
        <v>0</v>
      </c>
      <c r="H328" s="327">
        <f>('Pivot Table for Data Exchange'!$M$309)*100</f>
        <v>0</v>
      </c>
      <c r="I328" s="373"/>
      <c r="J328" s="366"/>
      <c r="K328" s="366"/>
      <c r="L328" s="366"/>
      <c r="M328" s="366"/>
      <c r="N328" s="366"/>
      <c r="O328" s="366"/>
      <c r="P328" s="366"/>
      <c r="Q328" s="332">
        <f t="shared" si="65"/>
        <v>99.999999999999986</v>
      </c>
      <c r="R328" s="332"/>
      <c r="S328" s="333"/>
      <c r="T328" s="333"/>
      <c r="U328" s="333"/>
      <c r="V328" s="333"/>
      <c r="W328" s="333"/>
      <c r="X328" s="333"/>
      <c r="Y328" s="333"/>
      <c r="Z328" s="333"/>
      <c r="AA328" s="333"/>
      <c r="AB328" s="333"/>
      <c r="AC328" s="333"/>
      <c r="AD328" s="333"/>
      <c r="AE328" s="333"/>
      <c r="AF328" s="333"/>
      <c r="AG328" s="333"/>
      <c r="AH328" s="333"/>
      <c r="AI328" s="333"/>
      <c r="AJ328" s="333"/>
      <c r="AK328" s="333"/>
      <c r="AL328" s="333"/>
      <c r="AM328" s="333"/>
      <c r="AN328" s="333"/>
      <c r="AO328" s="333"/>
    </row>
    <row r="329" spans="1:41" ht="15.75" customHeight="1">
      <c r="A329" s="298" t="s">
        <v>834</v>
      </c>
      <c r="B329" s="327">
        <f>('Pivot Table for Data Exchange'!$M$330)*100</f>
        <v>47.285062747416625</v>
      </c>
      <c r="C329" s="327">
        <f>('Pivot Table for Data Exchange'!$M$333)*100</f>
        <v>4.0413464119836933</v>
      </c>
      <c r="D329" s="328">
        <f t="shared" si="73"/>
        <v>48.67359084059968</v>
      </c>
      <c r="E329" s="327">
        <f>('Pivot Table for Data Exchange'!$M$336)*100</f>
        <v>48.085206755337062</v>
      </c>
      <c r="F329" s="327">
        <f>('Pivot Table for Data Exchange'!$M$339)*100</f>
        <v>0.58838408526262043</v>
      </c>
      <c r="G329" s="334">
        <f>('Pivot Table for Data Exchange'!$M$342)*100</f>
        <v>0</v>
      </c>
      <c r="H329" s="327">
        <f>('Pivot Table for Data Exchange'!$M$345)*100</f>
        <v>0</v>
      </c>
      <c r="I329" s="298"/>
      <c r="J329" s="366"/>
      <c r="K329" s="366"/>
      <c r="L329" s="366"/>
      <c r="M329" s="366"/>
      <c r="N329" s="366"/>
      <c r="O329" s="366"/>
      <c r="P329" s="366"/>
      <c r="Q329" s="332">
        <f t="shared" si="65"/>
        <v>100</v>
      </c>
      <c r="R329" s="332"/>
      <c r="S329" s="333"/>
      <c r="T329" s="333"/>
      <c r="U329" s="333"/>
      <c r="V329" s="333"/>
      <c r="W329" s="333"/>
      <c r="X329" s="333"/>
      <c r="Y329" s="333"/>
      <c r="Z329" s="333"/>
      <c r="AA329" s="333"/>
      <c r="AB329" s="333"/>
      <c r="AC329" s="333"/>
      <c r="AD329" s="333"/>
      <c r="AE329" s="333"/>
      <c r="AF329" s="333"/>
      <c r="AG329" s="333"/>
      <c r="AH329" s="333"/>
      <c r="AI329" s="333"/>
      <c r="AJ329" s="333"/>
      <c r="AK329" s="333"/>
      <c r="AL329" s="333"/>
      <c r="AM329" s="333"/>
      <c r="AN329" s="333"/>
      <c r="AO329" s="333"/>
    </row>
    <row r="330" spans="1:41" ht="15.75" customHeight="1">
      <c r="A330" s="298" t="s">
        <v>835</v>
      </c>
      <c r="B330" s="327">
        <f>('Pivot Table for Data Exchange'!$M$366)*100</f>
        <v>69.720438762330829</v>
      </c>
      <c r="C330" s="327">
        <f>('Pivot Table for Data Exchange'!$M$369)*100</f>
        <v>0.37530651592010933</v>
      </c>
      <c r="D330" s="328">
        <f t="shared" si="73"/>
        <v>29.904254721749059</v>
      </c>
      <c r="E330" s="327">
        <f>('Pivot Table for Data Exchange'!$M$372)*100</f>
        <v>23.129550942477959</v>
      </c>
      <c r="F330" s="327">
        <f>('Pivot Table for Data Exchange'!$M$375)*100</f>
        <v>6.2220391966007149</v>
      </c>
      <c r="G330" s="334">
        <f>('Pivot Table for Data Exchange'!$M$378)*100</f>
        <v>0.55266458267038543</v>
      </c>
      <c r="H330" s="327">
        <f>('Pivot Table for Data Exchange'!$M$381)*100</f>
        <v>0</v>
      </c>
      <c r="I330" s="298"/>
      <c r="J330" s="366"/>
      <c r="K330" s="366"/>
      <c r="L330" s="366"/>
      <c r="M330" s="366"/>
      <c r="N330" s="366"/>
      <c r="O330" s="366"/>
      <c r="P330" s="366"/>
      <c r="Q330" s="332">
        <f t="shared" si="65"/>
        <v>100</v>
      </c>
      <c r="R330" s="332"/>
      <c r="S330" s="333"/>
      <c r="T330" s="307"/>
      <c r="U330" s="333"/>
      <c r="V330" s="333"/>
      <c r="W330" s="333"/>
      <c r="X330" s="333"/>
      <c r="Y330" s="333"/>
      <c r="Z330" s="333"/>
      <c r="AA330" s="333"/>
      <c r="AB330" s="333"/>
      <c r="AC330" s="333"/>
      <c r="AD330" s="333"/>
      <c r="AE330" s="333"/>
      <c r="AF330" s="333"/>
      <c r="AG330" s="333"/>
      <c r="AH330" s="333"/>
      <c r="AI330" s="333"/>
      <c r="AJ330" s="333"/>
      <c r="AK330" s="333"/>
      <c r="AL330" s="333"/>
      <c r="AM330" s="333"/>
      <c r="AN330" s="333"/>
      <c r="AO330" s="333"/>
    </row>
    <row r="331" spans="1:41" ht="15.75" customHeight="1">
      <c r="A331" s="298" t="s">
        <v>836</v>
      </c>
      <c r="B331" s="327">
        <f>('Pivot Table for Data Exchange'!$M$402)*100</f>
        <v>56.712518643667224</v>
      </c>
      <c r="C331" s="327">
        <f>('Pivot Table for Data Exchange'!$M$405)*100</f>
        <v>7.7244665595687128</v>
      </c>
      <c r="D331" s="328">
        <f>SUM(E331:G331)</f>
        <v>35.563014796764065</v>
      </c>
      <c r="E331" s="327">
        <f>('Pivot Table for Data Exchange'!$M$408)*100</f>
        <v>33.223094832789855</v>
      </c>
      <c r="F331" s="327">
        <f>('Pivot Table for Data Exchange'!$M$411)*100</f>
        <v>2.3399199639742072</v>
      </c>
      <c r="G331" s="338">
        <f>('Pivot Table for Data Exchange'!$M$414)*100</f>
        <v>0</v>
      </c>
      <c r="H331" s="327">
        <f>('Pivot Table for Data Exchange'!$M$417)*100</f>
        <v>0</v>
      </c>
      <c r="I331" s="298"/>
      <c r="J331" s="366"/>
      <c r="K331" s="366"/>
      <c r="L331" s="366"/>
      <c r="M331" s="366"/>
      <c r="N331" s="366"/>
      <c r="O331" s="366"/>
      <c r="P331" s="366"/>
      <c r="Q331" s="332">
        <f t="shared" ref="Q331:Q395" si="74">SUM(B331,C331,D331,H331)</f>
        <v>100</v>
      </c>
      <c r="R331" s="332"/>
      <c r="S331" s="333"/>
      <c r="T331" s="333"/>
      <c r="U331" s="333"/>
      <c r="V331" s="333"/>
      <c r="W331" s="333"/>
      <c r="X331" s="333"/>
      <c r="Y331" s="333"/>
      <c r="Z331" s="333"/>
      <c r="AA331" s="333"/>
      <c r="AB331" s="333"/>
      <c r="AC331" s="333"/>
      <c r="AD331" s="333"/>
      <c r="AE331" s="333"/>
      <c r="AF331" s="333"/>
      <c r="AG331" s="333"/>
      <c r="AH331" s="333"/>
      <c r="AI331" s="333"/>
      <c r="AJ331" s="333"/>
      <c r="AK331" s="333"/>
      <c r="AL331" s="333"/>
      <c r="AM331" s="333"/>
      <c r="AN331" s="333"/>
      <c r="AO331" s="333"/>
    </row>
    <row r="332" spans="1:41" ht="12.75" customHeight="1">
      <c r="B332" s="327"/>
      <c r="C332" s="327"/>
      <c r="D332" s="328"/>
      <c r="E332" s="327"/>
      <c r="F332" s="327"/>
      <c r="G332" s="335"/>
      <c r="H332" s="327"/>
      <c r="I332" s="298"/>
      <c r="J332" s="366"/>
      <c r="K332" s="366"/>
      <c r="L332" s="366"/>
      <c r="M332" s="366"/>
      <c r="N332" s="366"/>
      <c r="O332" s="366"/>
      <c r="P332" s="366"/>
      <c r="Q332" s="332">
        <f t="shared" si="74"/>
        <v>0</v>
      </c>
      <c r="R332" s="332"/>
      <c r="S332" s="333"/>
      <c r="T332" s="333"/>
      <c r="U332" s="333"/>
      <c r="V332" s="333"/>
      <c r="W332" s="333"/>
      <c r="X332" s="333"/>
      <c r="Y332" s="333"/>
      <c r="Z332" s="333"/>
      <c r="AA332" s="333"/>
      <c r="AB332" s="333"/>
      <c r="AC332" s="333"/>
      <c r="AD332" s="333"/>
      <c r="AE332" s="333"/>
      <c r="AF332" s="333"/>
      <c r="AG332" s="333"/>
      <c r="AH332" s="333"/>
      <c r="AI332" s="333"/>
      <c r="AJ332" s="333"/>
      <c r="AK332" s="333"/>
      <c r="AL332" s="333"/>
      <c r="AM332" s="333"/>
      <c r="AN332" s="333"/>
      <c r="AO332" s="333"/>
    </row>
    <row r="333" spans="1:41" ht="15.75" customHeight="1">
      <c r="A333" s="298" t="s">
        <v>837</v>
      </c>
      <c r="B333" s="327">
        <f>('Pivot Table for Data Exchange'!$M$438)*100</f>
        <v>35.478563286858773</v>
      </c>
      <c r="C333" s="327">
        <f>('Pivot Table for Data Exchange'!$M$441)*100</f>
        <v>36.921321238291569</v>
      </c>
      <c r="D333" s="328">
        <f>SUM(E333:G333)</f>
        <v>27.423243786111303</v>
      </c>
      <c r="E333" s="327">
        <f>('Pivot Table for Data Exchange'!$M$444)*100</f>
        <v>18.914563519977012</v>
      </c>
      <c r="F333" s="327">
        <f>('Pivot Table for Data Exchange'!$M$447)*100</f>
        <v>3.3318289074750993</v>
      </c>
      <c r="G333" s="335">
        <f>('Pivot Table for Data Exchange'!$M$450)*100</f>
        <v>5.1768513586591913</v>
      </c>
      <c r="H333" s="327">
        <f>('Pivot Table for Data Exchange'!$M$453)*100</f>
        <v>0.17687168873835596</v>
      </c>
      <c r="I333" s="298"/>
      <c r="J333" s="366"/>
      <c r="K333" s="366"/>
      <c r="L333" s="366"/>
      <c r="M333" s="366"/>
      <c r="N333" s="366"/>
      <c r="O333" s="366"/>
      <c r="P333" s="366"/>
      <c r="Q333" s="332">
        <f t="shared" si="74"/>
        <v>100</v>
      </c>
      <c r="R333" s="332"/>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row>
    <row r="334" spans="1:41" ht="15.75" customHeight="1">
      <c r="A334" s="298" t="s">
        <v>838</v>
      </c>
      <c r="B334" s="327">
        <f>('Pivot Table for Data Exchange'!$M$474)*100</f>
        <v>48.274929369189707</v>
      </c>
      <c r="C334" s="327">
        <f>('Pivot Table for Data Exchange'!$M$477)*100</f>
        <v>23.040185793795342</v>
      </c>
      <c r="D334" s="328">
        <f>SUM(E334:G334)</f>
        <v>28.684884837014955</v>
      </c>
      <c r="E334" s="327">
        <f>('Pivot Table for Data Exchange'!$M$480)*100</f>
        <v>26.343596422502824</v>
      </c>
      <c r="F334" s="327">
        <f>('Pivot Table for Data Exchange'!$M$483)*100</f>
        <v>2.0701271524167097</v>
      </c>
      <c r="G334" s="335">
        <f>('Pivot Table for Data Exchange'!$M$486)*100</f>
        <v>0.2711612620954203</v>
      </c>
      <c r="H334" s="327">
        <f>('Pivot Table for Data Exchange'!$M$489)*100</f>
        <v>0</v>
      </c>
      <c r="I334" s="298"/>
      <c r="J334" s="366"/>
      <c r="K334" s="366"/>
      <c r="L334" s="366"/>
      <c r="M334" s="366"/>
      <c r="N334" s="366"/>
      <c r="O334" s="366"/>
      <c r="P334" s="366"/>
      <c r="Q334" s="332">
        <f t="shared" si="74"/>
        <v>100</v>
      </c>
      <c r="R334" s="332"/>
      <c r="S334" s="333"/>
      <c r="T334" s="333"/>
      <c r="U334" s="333"/>
      <c r="V334" s="333"/>
      <c r="W334" s="333"/>
      <c r="X334" s="333"/>
      <c r="Y334" s="333"/>
      <c r="Z334" s="333"/>
      <c r="AA334" s="333"/>
      <c r="AB334" s="333"/>
      <c r="AC334" s="333"/>
      <c r="AD334" s="333"/>
      <c r="AE334" s="333"/>
      <c r="AF334" s="333"/>
      <c r="AG334" s="333"/>
      <c r="AH334" s="333"/>
      <c r="AI334" s="333"/>
      <c r="AJ334" s="333"/>
      <c r="AK334" s="333"/>
      <c r="AL334" s="333"/>
      <c r="AM334" s="333"/>
      <c r="AN334" s="333"/>
      <c r="AO334" s="333"/>
    </row>
    <row r="335" spans="1:41" ht="15.75" customHeight="1">
      <c r="A335" s="298" t="s">
        <v>839</v>
      </c>
      <c r="B335" s="327">
        <f>('Pivot Table for Data Exchange'!$M$510)*100</f>
        <v>44.703174405114304</v>
      </c>
      <c r="C335" s="327">
        <f>('Pivot Table for Data Exchange'!$M$513)*100</f>
        <v>23.752684717882278</v>
      </c>
      <c r="D335" s="328">
        <f t="shared" ref="D335" si="75">SUM(E335:G335)</f>
        <v>31.544140877003422</v>
      </c>
      <c r="E335" s="327">
        <f>('Pivot Table for Data Exchange'!$M$516)*100</f>
        <v>26.859523879055619</v>
      </c>
      <c r="F335" s="327">
        <f>('Pivot Table for Data Exchange'!$M$519)*100</f>
        <v>4.684616997947801</v>
      </c>
      <c r="G335" s="335">
        <f>('Pivot Table for Data Exchange'!$M$522)*100</f>
        <v>0</v>
      </c>
      <c r="H335" s="327">
        <f>('Pivot Table for Data Exchange'!$M$525)*100</f>
        <v>0</v>
      </c>
      <c r="I335" s="298"/>
      <c r="J335" s="366"/>
      <c r="K335" s="366"/>
      <c r="L335" s="366"/>
      <c r="M335" s="366"/>
      <c r="N335" s="366"/>
      <c r="O335" s="366"/>
      <c r="P335" s="366"/>
      <c r="Q335" s="332">
        <f t="shared" si="74"/>
        <v>100</v>
      </c>
      <c r="R335" s="332"/>
      <c r="S335" s="333"/>
      <c r="T335" s="333"/>
      <c r="U335" s="333"/>
      <c r="V335" s="333"/>
      <c r="W335" s="333"/>
      <c r="X335" s="333"/>
      <c r="Y335" s="333"/>
      <c r="Z335" s="333"/>
      <c r="AA335" s="333"/>
      <c r="AB335" s="333"/>
      <c r="AC335" s="333"/>
      <c r="AD335" s="333"/>
      <c r="AE335" s="333"/>
      <c r="AF335" s="333"/>
      <c r="AG335" s="333"/>
      <c r="AH335" s="333"/>
      <c r="AI335" s="333"/>
      <c r="AJ335" s="333"/>
      <c r="AK335" s="333"/>
      <c r="AL335" s="333"/>
      <c r="AM335" s="333"/>
      <c r="AN335" s="333"/>
      <c r="AO335" s="333"/>
    </row>
    <row r="336" spans="1:41" ht="15.75" customHeight="1">
      <c r="A336" s="304" t="s">
        <v>840</v>
      </c>
      <c r="B336" s="340">
        <f>('Pivot Table for Data Exchange'!$M$546)*100</f>
        <v>0</v>
      </c>
      <c r="C336" s="340">
        <f>('Pivot Table for Data Exchange'!$M$549)*100</f>
        <v>0</v>
      </c>
      <c r="D336" s="341">
        <f>SUM(E336:G336)</f>
        <v>0</v>
      </c>
      <c r="E336" s="340">
        <f>('Pivot Table for Data Exchange'!$M$552)*100</f>
        <v>0</v>
      </c>
      <c r="F336" s="340">
        <f>('Pivot Table for Data Exchange'!$M$555)*100</f>
        <v>0</v>
      </c>
      <c r="G336" s="363">
        <f>('Pivot Table for Data Exchange'!$M$558)*100</f>
        <v>0</v>
      </c>
      <c r="H336" s="340">
        <f>('Pivot Table for Data Exchange'!$M$561)*100</f>
        <v>0</v>
      </c>
      <c r="I336" s="298"/>
      <c r="J336" s="366"/>
      <c r="K336" s="366"/>
      <c r="L336" s="366"/>
      <c r="M336" s="366"/>
      <c r="N336" s="366"/>
      <c r="O336" s="366"/>
      <c r="P336" s="366"/>
      <c r="Q336" s="332">
        <f t="shared" si="74"/>
        <v>0</v>
      </c>
      <c r="R336" s="332"/>
      <c r="S336" s="333"/>
      <c r="T336" s="333"/>
      <c r="U336" s="333"/>
      <c r="V336" s="333"/>
      <c r="W336" s="333"/>
      <c r="X336" s="333"/>
      <c r="Y336" s="333"/>
      <c r="Z336" s="333"/>
      <c r="AA336" s="333"/>
      <c r="AB336" s="333"/>
      <c r="AC336" s="333"/>
      <c r="AD336" s="333"/>
      <c r="AE336" s="333"/>
      <c r="AF336" s="333"/>
      <c r="AG336" s="333"/>
      <c r="AH336" s="333"/>
      <c r="AI336" s="333"/>
      <c r="AJ336" s="333"/>
      <c r="AK336" s="333"/>
      <c r="AL336" s="333"/>
      <c r="AM336" s="333"/>
      <c r="AN336" s="333"/>
      <c r="AO336" s="333"/>
    </row>
    <row r="337" spans="1:41" s="345" customFormat="1" ht="12" customHeight="1">
      <c r="A337" s="346" t="s">
        <v>866</v>
      </c>
      <c r="B337" s="347"/>
      <c r="C337" s="347"/>
      <c r="D337" s="348"/>
      <c r="E337" s="347"/>
      <c r="F337" s="348"/>
      <c r="G337" s="348"/>
      <c r="H337" s="347"/>
      <c r="I337" s="356"/>
      <c r="J337" s="347"/>
      <c r="K337" s="347"/>
      <c r="L337" s="348"/>
      <c r="M337" s="347"/>
      <c r="N337" s="348"/>
      <c r="O337" s="348"/>
      <c r="P337" s="347"/>
      <c r="Q337" s="332">
        <f t="shared" si="74"/>
        <v>0</v>
      </c>
      <c r="R337" s="367"/>
      <c r="S337" s="349"/>
      <c r="T337" s="349"/>
      <c r="U337" s="349"/>
      <c r="V337" s="349"/>
      <c r="W337" s="349"/>
      <c r="X337" s="349"/>
      <c r="Y337" s="349"/>
      <c r="Z337" s="349"/>
      <c r="AA337" s="349"/>
      <c r="AB337" s="349"/>
      <c r="AC337" s="349"/>
      <c r="AD337" s="349"/>
      <c r="AE337" s="349"/>
      <c r="AF337" s="349"/>
      <c r="AG337" s="349"/>
      <c r="AH337" s="349"/>
      <c r="AI337" s="349"/>
      <c r="AJ337" s="349"/>
      <c r="AK337" s="349"/>
      <c r="AL337" s="349"/>
      <c r="AM337" s="349"/>
      <c r="AN337" s="349"/>
      <c r="AO337" s="349"/>
    </row>
    <row r="338" spans="1:41" s="345" customFormat="1" ht="22.5" customHeight="1">
      <c r="A338" s="455" t="s">
        <v>881</v>
      </c>
      <c r="B338" s="467"/>
      <c r="C338" s="467"/>
      <c r="D338" s="467"/>
      <c r="E338" s="467"/>
      <c r="F338" s="467"/>
      <c r="G338" s="467"/>
      <c r="H338" s="467"/>
      <c r="I338" s="356"/>
      <c r="P338" s="358"/>
      <c r="Q338" s="332">
        <f t="shared" si="74"/>
        <v>0</v>
      </c>
      <c r="R338" s="368"/>
    </row>
    <row r="339" spans="1:41" s="345" customFormat="1" ht="13.5" customHeight="1">
      <c r="A339" s="344"/>
      <c r="B339" s="374"/>
      <c r="C339" s="374"/>
      <c r="D339" s="374"/>
      <c r="E339" s="374"/>
      <c r="F339" s="374"/>
      <c r="G339" s="374"/>
      <c r="H339" s="374"/>
      <c r="I339" s="356"/>
      <c r="P339" s="358"/>
      <c r="Q339" s="332"/>
      <c r="R339" s="368"/>
    </row>
    <row r="340" spans="1:41" s="345" customFormat="1">
      <c r="H340" s="351" t="s">
        <v>980</v>
      </c>
      <c r="Q340" s="332">
        <f t="shared" si="74"/>
        <v>0</v>
      </c>
      <c r="R340" s="371"/>
    </row>
    <row r="341" spans="1:41" ht="18">
      <c r="A341" s="293" t="s">
        <v>886</v>
      </c>
      <c r="B341" s="294"/>
      <c r="C341" s="294"/>
      <c r="D341" s="294"/>
      <c r="E341" s="294"/>
      <c r="F341" s="294"/>
      <c r="G341" s="294"/>
      <c r="H341" s="294"/>
      <c r="L341" s="294"/>
      <c r="Q341" s="332">
        <f t="shared" si="74"/>
        <v>0</v>
      </c>
    </row>
    <row r="342" spans="1:41">
      <c r="A342" s="299"/>
      <c r="B342" s="295"/>
      <c r="C342" s="295"/>
      <c r="D342" s="295"/>
      <c r="E342" s="295"/>
      <c r="F342" s="295"/>
      <c r="G342" s="295"/>
      <c r="H342" s="295"/>
      <c r="Q342" s="332">
        <f t="shared" si="74"/>
        <v>0</v>
      </c>
    </row>
    <row r="343" spans="1:41" ht="15.75">
      <c r="A343" s="301" t="s">
        <v>846</v>
      </c>
      <c r="B343" s="295"/>
      <c r="C343" s="295"/>
      <c r="D343" s="295"/>
      <c r="E343" s="295"/>
      <c r="F343" s="295"/>
      <c r="G343" s="295"/>
      <c r="H343" s="295"/>
      <c r="L343" s="295"/>
      <c r="Q343" s="332">
        <f t="shared" si="74"/>
        <v>0</v>
      </c>
    </row>
    <row r="344" spans="1:41" ht="15.75">
      <c r="A344" s="301" t="s">
        <v>902</v>
      </c>
      <c r="B344" s="295"/>
      <c r="C344" s="295"/>
      <c r="D344" s="295"/>
      <c r="E344" s="295"/>
      <c r="F344" s="295"/>
      <c r="G344" s="295"/>
      <c r="H344" s="295"/>
      <c r="Q344" s="332">
        <f t="shared" si="74"/>
        <v>0</v>
      </c>
    </row>
    <row r="345" spans="1:41">
      <c r="A345" s="304"/>
      <c r="B345" s="305"/>
      <c r="C345" s="305"/>
      <c r="D345" s="305"/>
      <c r="E345" s="305"/>
      <c r="F345" s="305"/>
      <c r="G345" s="305"/>
      <c r="H345" s="305"/>
      <c r="Q345" s="332">
        <f t="shared" si="74"/>
        <v>0</v>
      </c>
    </row>
    <row r="346" spans="1:41">
      <c r="A346" s="309"/>
      <c r="B346" s="310" t="s">
        <v>848</v>
      </c>
      <c r="C346" s="310"/>
      <c r="D346" s="310"/>
      <c r="E346" s="310"/>
      <c r="F346" s="310"/>
      <c r="G346" s="310"/>
      <c r="H346" s="311"/>
      <c r="Q346" s="332">
        <f t="shared" si="74"/>
        <v>0</v>
      </c>
    </row>
    <row r="347" spans="1:41">
      <c r="A347" s="309"/>
      <c r="B347" s="310" t="s">
        <v>849</v>
      </c>
      <c r="C347" s="310"/>
      <c r="D347" s="450" t="s">
        <v>850</v>
      </c>
      <c r="E347" s="448"/>
      <c r="F347" s="448"/>
      <c r="G347" s="448"/>
      <c r="H347" s="317" t="s">
        <v>740</v>
      </c>
      <c r="Q347" s="332">
        <f t="shared" si="74"/>
        <v>0</v>
      </c>
    </row>
    <row r="348" spans="1:41" ht="36">
      <c r="A348" s="309"/>
      <c r="B348" s="318" t="s">
        <v>851</v>
      </c>
      <c r="C348" s="319" t="s">
        <v>852</v>
      </c>
      <c r="D348" s="320" t="s">
        <v>853</v>
      </c>
      <c r="E348" s="321" t="s">
        <v>8</v>
      </c>
      <c r="F348" s="318" t="s">
        <v>854</v>
      </c>
      <c r="G348" s="322" t="s">
        <v>864</v>
      </c>
      <c r="H348" s="323" t="s">
        <v>856</v>
      </c>
      <c r="Q348" s="332">
        <f t="shared" si="74"/>
        <v>0</v>
      </c>
    </row>
    <row r="349" spans="1:41" ht="15.75" customHeight="1">
      <c r="A349" s="353" t="s">
        <v>825</v>
      </c>
      <c r="B349" s="327">
        <f>('Pivot Table for Data Exchange'!$N$6)*100</f>
        <v>64.345366458030156</v>
      </c>
      <c r="C349" s="327">
        <f>('Pivot Table for Data Exchange'!$N$9)*100</f>
        <v>6.8169200109870198</v>
      </c>
      <c r="D349" s="328">
        <f>SUM(E349:G349)</f>
        <v>28.837713530982811</v>
      </c>
      <c r="E349" s="327">
        <f>('Pivot Table for Data Exchange'!$N$12)*100</f>
        <v>28.6878108362408</v>
      </c>
      <c r="F349" s="327">
        <f>('Pivot Table for Data Exchange'!$N$15)*100</f>
        <v>0</v>
      </c>
      <c r="G349" s="331">
        <f>('Pivot Table for Data Exchange'!$N$18)*100</f>
        <v>0.14990269474200957</v>
      </c>
      <c r="H349" s="327">
        <f>('Pivot Table for Data Exchange'!$N$21)*100</f>
        <v>0</v>
      </c>
      <c r="I349" s="298"/>
      <c r="J349" s="366"/>
      <c r="K349" s="366"/>
      <c r="L349" s="366"/>
      <c r="M349" s="366"/>
      <c r="N349" s="366"/>
      <c r="O349" s="366"/>
      <c r="P349" s="366"/>
      <c r="Q349" s="332">
        <f t="shared" si="74"/>
        <v>99.999999999999986</v>
      </c>
      <c r="R349" s="332"/>
      <c r="S349" s="333"/>
      <c r="T349" s="333"/>
      <c r="U349" s="333"/>
      <c r="V349" s="333"/>
      <c r="W349" s="333"/>
      <c r="X349" s="333"/>
      <c r="Y349" s="333"/>
      <c r="Z349" s="333"/>
      <c r="AA349" s="333"/>
      <c r="AB349" s="333"/>
      <c r="AC349" s="333"/>
      <c r="AD349" s="333"/>
      <c r="AE349" s="333"/>
      <c r="AF349" s="333"/>
      <c r="AG349" s="333"/>
      <c r="AH349" s="333"/>
      <c r="AI349" s="333"/>
      <c r="AJ349" s="333"/>
      <c r="AK349" s="333"/>
      <c r="AL349" s="333"/>
      <c r="AM349" s="333"/>
      <c r="AN349" s="333"/>
      <c r="AO349" s="333"/>
    </row>
    <row r="350" spans="1:41" ht="15.75" customHeight="1">
      <c r="A350" s="298" t="s">
        <v>826</v>
      </c>
      <c r="B350" s="327">
        <f>('Pivot Table for Data Exchange'!$N$42)*100</f>
        <v>63.417897936717935</v>
      </c>
      <c r="C350" s="327">
        <f>('Pivot Table for Data Exchange'!$N$45)*100</f>
        <v>10.668875041659513</v>
      </c>
      <c r="D350" s="328">
        <f t="shared" ref="D350:D352" si="76">SUM(E350:G350)</f>
        <v>25.913227021622554</v>
      </c>
      <c r="E350" s="327">
        <f>('Pivot Table for Data Exchange'!$N$48)*100</f>
        <v>24.227489555665528</v>
      </c>
      <c r="F350" s="327">
        <f>('Pivot Table for Data Exchange'!$N$51)*100</f>
        <v>1.6857374659570243</v>
      </c>
      <c r="G350" s="334">
        <f>('Pivot Table for Data Exchange'!$N$54)*100</f>
        <v>0</v>
      </c>
      <c r="H350" s="339">
        <f>('Pivot Table for Data Exchange'!$N$57)*100</f>
        <v>0</v>
      </c>
      <c r="I350" s="298"/>
      <c r="J350" s="366"/>
      <c r="K350" s="366"/>
      <c r="L350" s="366"/>
      <c r="M350" s="366"/>
      <c r="N350" s="366"/>
      <c r="O350" s="366"/>
      <c r="P350" s="366"/>
      <c r="Q350" s="332">
        <f t="shared" si="74"/>
        <v>100</v>
      </c>
      <c r="R350" s="332"/>
      <c r="S350" s="333"/>
      <c r="T350" s="333"/>
      <c r="U350" s="333"/>
      <c r="V350" s="333"/>
      <c r="W350" s="333"/>
      <c r="X350" s="333"/>
      <c r="Y350" s="333"/>
      <c r="Z350" s="333"/>
      <c r="AA350" s="333"/>
      <c r="AB350" s="333"/>
      <c r="AC350" s="333"/>
      <c r="AD350" s="333"/>
      <c r="AE350" s="333"/>
      <c r="AF350" s="333"/>
      <c r="AG350" s="333"/>
      <c r="AH350" s="333"/>
      <c r="AI350" s="333"/>
      <c r="AJ350" s="333"/>
      <c r="AK350" s="333"/>
      <c r="AL350" s="333"/>
      <c r="AM350" s="333"/>
      <c r="AN350" s="333"/>
      <c r="AO350" s="333"/>
    </row>
    <row r="351" spans="1:41" ht="15.75" customHeight="1">
      <c r="A351" s="298" t="s">
        <v>827</v>
      </c>
      <c r="B351" s="327">
        <f>('Pivot Table for Data Exchange'!$N$78)*100</f>
        <v>0</v>
      </c>
      <c r="C351" s="327">
        <f>('Pivot Table for Data Exchange'!$N$81)*100</f>
        <v>0</v>
      </c>
      <c r="D351" s="328">
        <f t="shared" si="76"/>
        <v>0</v>
      </c>
      <c r="E351" s="327">
        <f>('Pivot Table for Data Exchange'!$N$84)*100</f>
        <v>0</v>
      </c>
      <c r="F351" s="327">
        <f>('Pivot Table for Data Exchange'!$N$87)*100</f>
        <v>0</v>
      </c>
      <c r="G351" s="335">
        <f>('Pivot Table for Data Exchange'!$N$90)*100</f>
        <v>0</v>
      </c>
      <c r="H351" s="327">
        <f>('Pivot Table for Data Exchange'!$N$93)*100</f>
        <v>0</v>
      </c>
      <c r="I351" s="298"/>
      <c r="J351" s="366"/>
      <c r="K351" s="366"/>
      <c r="L351" s="366"/>
      <c r="M351" s="366"/>
      <c r="N351" s="366"/>
      <c r="O351" s="366"/>
      <c r="P351" s="366"/>
      <c r="Q351" s="332">
        <f t="shared" si="74"/>
        <v>0</v>
      </c>
      <c r="R351" s="332"/>
      <c r="S351" s="333"/>
      <c r="T351" s="307"/>
      <c r="U351" s="333"/>
      <c r="V351" s="333"/>
      <c r="W351" s="333"/>
      <c r="X351" s="333"/>
      <c r="Y351" s="333"/>
      <c r="Z351" s="333"/>
      <c r="AA351" s="333"/>
      <c r="AB351" s="333"/>
      <c r="AC351" s="333"/>
      <c r="AD351" s="333"/>
      <c r="AE351" s="333"/>
      <c r="AF351" s="333"/>
      <c r="AG351" s="333"/>
      <c r="AH351" s="333"/>
      <c r="AI351" s="333"/>
      <c r="AJ351" s="333"/>
      <c r="AK351" s="333"/>
      <c r="AL351" s="333"/>
      <c r="AM351" s="333"/>
      <c r="AN351" s="333"/>
      <c r="AO351" s="333"/>
    </row>
    <row r="352" spans="1:41" ht="15.75" customHeight="1">
      <c r="A352" s="298" t="s">
        <v>865</v>
      </c>
      <c r="B352" s="327">
        <f>('Pivot Table for Data Exchange'!$N$114)*100</f>
        <v>67.652482269503551</v>
      </c>
      <c r="C352" s="327">
        <f>('Pivot Table for Data Exchange'!$N$117)*100</f>
        <v>3.3427895981087468</v>
      </c>
      <c r="D352" s="328">
        <f t="shared" si="76"/>
        <v>29.004728132387708</v>
      </c>
      <c r="E352" s="327">
        <f>('Pivot Table for Data Exchange'!$N$120)*100</f>
        <v>29.004728132387708</v>
      </c>
      <c r="F352" s="327">
        <f>('Pivot Table for Data Exchange'!$N$123)*100</f>
        <v>0</v>
      </c>
      <c r="G352" s="335">
        <f>('Pivot Table for Data Exchange'!$N$126)*100</f>
        <v>0</v>
      </c>
      <c r="H352" s="327">
        <f>('Pivot Table for Data Exchange'!$N$129)*100</f>
        <v>0</v>
      </c>
      <c r="I352" s="298"/>
      <c r="J352" s="366"/>
      <c r="K352" s="366"/>
      <c r="L352" s="366"/>
      <c r="M352" s="366"/>
      <c r="N352" s="366"/>
      <c r="O352" s="366"/>
      <c r="P352" s="366"/>
      <c r="Q352" s="332">
        <f t="shared" si="74"/>
        <v>100.00000000000001</v>
      </c>
      <c r="R352" s="332"/>
      <c r="S352" s="333"/>
      <c r="U352" s="333"/>
      <c r="V352" s="333"/>
      <c r="W352" s="333"/>
      <c r="X352" s="333"/>
      <c r="Y352" s="333"/>
      <c r="Z352" s="333"/>
      <c r="AA352" s="333"/>
      <c r="AB352" s="333"/>
      <c r="AC352" s="333"/>
      <c r="AD352" s="333"/>
      <c r="AE352" s="333"/>
      <c r="AF352" s="333"/>
      <c r="AG352" s="333"/>
      <c r="AH352" s="333"/>
      <c r="AI352" s="333"/>
      <c r="AJ352" s="333"/>
      <c r="AK352" s="333"/>
      <c r="AL352" s="333"/>
      <c r="AM352" s="333"/>
      <c r="AN352" s="333"/>
      <c r="AO352" s="333"/>
    </row>
    <row r="353" spans="1:41" ht="15.75" customHeight="1">
      <c r="B353" s="327"/>
      <c r="C353" s="327"/>
      <c r="D353" s="328"/>
      <c r="E353" s="327"/>
      <c r="F353" s="327"/>
      <c r="G353" s="335"/>
      <c r="H353" s="327"/>
      <c r="I353" s="298"/>
      <c r="J353" s="366"/>
      <c r="K353" s="366"/>
      <c r="L353" s="366"/>
      <c r="M353" s="366"/>
      <c r="N353" s="366"/>
      <c r="O353" s="366"/>
      <c r="P353" s="366"/>
      <c r="Q353" s="332">
        <f t="shared" si="74"/>
        <v>0</v>
      </c>
      <c r="R353" s="332"/>
      <c r="S353" s="333"/>
      <c r="U353" s="333"/>
      <c r="V353" s="333"/>
      <c r="W353" s="333"/>
      <c r="X353" s="333"/>
      <c r="Y353" s="333"/>
      <c r="Z353" s="333"/>
      <c r="AA353" s="333"/>
      <c r="AB353" s="333"/>
      <c r="AC353" s="333"/>
      <c r="AD353" s="333"/>
      <c r="AE353" s="333"/>
      <c r="AF353" s="333"/>
      <c r="AG353" s="333"/>
      <c r="AH353" s="333"/>
      <c r="AI353" s="333"/>
      <c r="AJ353" s="333"/>
      <c r="AK353" s="333"/>
      <c r="AL353" s="333"/>
      <c r="AM353" s="333"/>
      <c r="AN353" s="333"/>
      <c r="AO353" s="333"/>
    </row>
    <row r="354" spans="1:41" ht="15.75" customHeight="1">
      <c r="A354" s="298" t="s">
        <v>829</v>
      </c>
      <c r="B354" s="327">
        <f>('Pivot Table for Data Exchange'!$N$150)*100</f>
        <v>47.249362275593207</v>
      </c>
      <c r="C354" s="327">
        <f>('Pivot Table for Data Exchange'!$N$153)*100</f>
        <v>16.828704817827404</v>
      </c>
      <c r="D354" s="328">
        <f t="shared" ref="D354:D357" si="77">SUM(E354:G354)</f>
        <v>35.921932906579393</v>
      </c>
      <c r="E354" s="327">
        <f>('Pivot Table for Data Exchange'!$N$156)*100</f>
        <v>35.921932906579393</v>
      </c>
      <c r="F354" s="327">
        <f>('Pivot Table for Data Exchange'!$N$159)*100</f>
        <v>0</v>
      </c>
      <c r="G354" s="335">
        <f>('Pivot Table for Data Exchange'!$N$162)*100</f>
        <v>0</v>
      </c>
      <c r="H354" s="327">
        <f>('Pivot Table for Data Exchange'!$N$165)*100</f>
        <v>0</v>
      </c>
      <c r="I354" s="298"/>
      <c r="J354" s="366"/>
      <c r="K354" s="366"/>
      <c r="L354" s="366"/>
      <c r="M354" s="366"/>
      <c r="N354" s="366"/>
      <c r="O354" s="366"/>
      <c r="P354" s="366"/>
      <c r="Q354" s="332">
        <f t="shared" si="74"/>
        <v>100</v>
      </c>
      <c r="R354" s="332"/>
      <c r="S354" s="333"/>
      <c r="T354" s="333"/>
      <c r="U354" s="333"/>
      <c r="V354" s="333"/>
      <c r="W354" s="333"/>
      <c r="X354" s="333"/>
      <c r="Y354" s="333"/>
      <c r="Z354" s="333"/>
      <c r="AA354" s="333"/>
      <c r="AB354" s="333"/>
      <c r="AC354" s="333"/>
      <c r="AD354" s="333"/>
      <c r="AE354" s="333"/>
      <c r="AF354" s="333"/>
      <c r="AG354" s="333"/>
      <c r="AH354" s="333"/>
      <c r="AI354" s="333"/>
      <c r="AJ354" s="333"/>
      <c r="AK354" s="333"/>
      <c r="AL354" s="333"/>
      <c r="AM354" s="333"/>
      <c r="AN354" s="333"/>
      <c r="AO354" s="333"/>
    </row>
    <row r="355" spans="1:41" ht="15.75" customHeight="1">
      <c r="A355" s="298" t="s">
        <v>830</v>
      </c>
      <c r="B355" s="327">
        <f>('Pivot Table for Data Exchange'!$N$186)*100</f>
        <v>46.03856900021492</v>
      </c>
      <c r="C355" s="327">
        <f>('Pivot Table for Data Exchange'!$N$189)*100</f>
        <v>11.636349426545006</v>
      </c>
      <c r="D355" s="328">
        <f t="shared" si="77"/>
        <v>42.32508157324007</v>
      </c>
      <c r="E355" s="327">
        <f>('Pivot Table for Data Exchange'!$N$192)*100</f>
        <v>42.32508157324007</v>
      </c>
      <c r="F355" s="327">
        <f>('Pivot Table for Data Exchange'!$N$195)*100</f>
        <v>0</v>
      </c>
      <c r="G355" s="335">
        <f>('Pivot Table for Data Exchange'!$N$198)*100</f>
        <v>0</v>
      </c>
      <c r="H355" s="327">
        <f>('Pivot Table for Data Exchange'!$N$201)*100</f>
        <v>0</v>
      </c>
      <c r="I355" s="298"/>
      <c r="J355" s="366"/>
      <c r="K355" s="366"/>
      <c r="L355" s="366"/>
      <c r="M355" s="366"/>
      <c r="N355" s="366"/>
      <c r="O355" s="366"/>
      <c r="P355" s="366"/>
      <c r="Q355" s="332">
        <f t="shared" si="74"/>
        <v>100</v>
      </c>
      <c r="R355" s="332"/>
      <c r="S355" s="333"/>
      <c r="T355" s="333"/>
      <c r="U355" s="333"/>
      <c r="V355" s="333"/>
      <c r="W355" s="333"/>
      <c r="X355" s="333"/>
      <c r="Y355" s="333"/>
      <c r="Z355" s="333"/>
      <c r="AA355" s="333"/>
      <c r="AB355" s="333"/>
      <c r="AC355" s="333"/>
      <c r="AD355" s="333"/>
      <c r="AE355" s="333"/>
      <c r="AF355" s="333"/>
      <c r="AG355" s="333"/>
      <c r="AH355" s="333"/>
      <c r="AI355" s="333"/>
      <c r="AJ355" s="333"/>
      <c r="AK355" s="333"/>
      <c r="AL355" s="333"/>
      <c r="AM355" s="333"/>
      <c r="AN355" s="333"/>
      <c r="AO355" s="333"/>
    </row>
    <row r="356" spans="1:41" ht="15.75" customHeight="1">
      <c r="A356" s="298" t="s">
        <v>831</v>
      </c>
      <c r="B356" s="327">
        <f>('Pivot Table for Data Exchange'!$N$222)*100</f>
        <v>71.19475710095854</v>
      </c>
      <c r="C356" s="327">
        <f>('Pivot Table for Data Exchange'!$N$225)*100</f>
        <v>0</v>
      </c>
      <c r="D356" s="328">
        <f t="shared" si="77"/>
        <v>28.805242899041456</v>
      </c>
      <c r="E356" s="327">
        <f>('Pivot Table for Data Exchange'!$N$228)*100</f>
        <v>28.805242899041456</v>
      </c>
      <c r="F356" s="327">
        <f>('Pivot Table for Data Exchange'!$N$231)*100</f>
        <v>0</v>
      </c>
      <c r="G356" s="335">
        <f>('Pivot Table for Data Exchange'!$N$234)*100</f>
        <v>0</v>
      </c>
      <c r="H356" s="327">
        <f>('Pivot Table for Data Exchange'!$N$237)*100</f>
        <v>0</v>
      </c>
      <c r="I356" s="298"/>
      <c r="J356" s="366"/>
      <c r="K356" s="366"/>
      <c r="L356" s="366"/>
      <c r="M356" s="366"/>
      <c r="N356" s="366"/>
      <c r="O356" s="366"/>
      <c r="P356" s="366"/>
      <c r="Q356" s="332">
        <f t="shared" si="74"/>
        <v>100</v>
      </c>
      <c r="R356" s="332"/>
      <c r="S356" s="333"/>
      <c r="T356" s="307"/>
      <c r="U356" s="333"/>
      <c r="V356" s="333"/>
      <c r="W356" s="333"/>
      <c r="X356" s="333"/>
      <c r="Y356" s="333"/>
      <c r="Z356" s="333"/>
      <c r="AA356" s="333"/>
      <c r="AB356" s="333"/>
      <c r="AC356" s="333"/>
      <c r="AD356" s="333"/>
      <c r="AE356" s="333"/>
      <c r="AF356" s="333"/>
      <c r="AG356" s="333"/>
      <c r="AH356" s="333"/>
      <c r="AI356" s="333"/>
      <c r="AJ356" s="333"/>
      <c r="AK356" s="333"/>
      <c r="AL356" s="333"/>
      <c r="AM356" s="333"/>
      <c r="AN356" s="333"/>
      <c r="AO356" s="333"/>
    </row>
    <row r="357" spans="1:41" ht="15.75" customHeight="1">
      <c r="A357" s="298" t="s">
        <v>832</v>
      </c>
      <c r="B357" s="327">
        <f>('Pivot Table for Data Exchange'!$N$258)*100</f>
        <v>71.038074628806541</v>
      </c>
      <c r="C357" s="327">
        <f>('Pivot Table for Data Exchange'!$N$261)*100</f>
        <v>6.0457935854303448</v>
      </c>
      <c r="D357" s="328">
        <f t="shared" si="77"/>
        <v>22.91613178576311</v>
      </c>
      <c r="E357" s="327">
        <f>('Pivot Table for Data Exchange'!$N$264)*100</f>
        <v>22.033870048114274</v>
      </c>
      <c r="F357" s="327">
        <f>('Pivot Table for Data Exchange'!$N$267)*100</f>
        <v>0.88226173764883575</v>
      </c>
      <c r="G357" s="335">
        <f>('Pivot Table for Data Exchange'!$N$270)*100</f>
        <v>0</v>
      </c>
      <c r="H357" s="327">
        <f>('Pivot Table for Data Exchange'!$N$273)*100</f>
        <v>0</v>
      </c>
      <c r="I357" s="298"/>
      <c r="J357" s="366"/>
      <c r="K357" s="366"/>
      <c r="L357" s="366"/>
      <c r="M357" s="366"/>
      <c r="N357" s="366"/>
      <c r="O357" s="366"/>
      <c r="P357" s="366"/>
      <c r="Q357" s="332">
        <f t="shared" si="74"/>
        <v>100</v>
      </c>
      <c r="R357" s="332"/>
      <c r="S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row>
    <row r="358" spans="1:41" ht="12.75" customHeight="1">
      <c r="B358" s="327"/>
      <c r="C358" s="327"/>
      <c r="D358" s="328"/>
      <c r="E358" s="327"/>
      <c r="F358" s="327"/>
      <c r="G358" s="335"/>
      <c r="H358" s="327"/>
      <c r="I358" s="298"/>
      <c r="J358" s="366"/>
      <c r="K358" s="366"/>
      <c r="L358" s="366"/>
      <c r="M358" s="366"/>
      <c r="N358" s="366"/>
      <c r="O358" s="366"/>
      <c r="P358" s="366"/>
      <c r="Q358" s="332">
        <f t="shared" si="74"/>
        <v>0</v>
      </c>
      <c r="R358" s="332"/>
      <c r="S358" s="333"/>
      <c r="U358" s="333"/>
      <c r="V358" s="333"/>
      <c r="W358" s="333"/>
      <c r="X358" s="333"/>
      <c r="Y358" s="333"/>
      <c r="Z358" s="333"/>
      <c r="AA358" s="333"/>
      <c r="AB358" s="333"/>
      <c r="AC358" s="333"/>
      <c r="AD358" s="333"/>
      <c r="AE358" s="333"/>
      <c r="AF358" s="333"/>
      <c r="AG358" s="333"/>
      <c r="AH358" s="333"/>
      <c r="AI358" s="333"/>
      <c r="AJ358" s="333"/>
      <c r="AK358" s="333"/>
      <c r="AL358" s="333"/>
      <c r="AM358" s="333"/>
      <c r="AN358" s="333"/>
      <c r="AO358" s="333"/>
    </row>
    <row r="359" spans="1:41" ht="15.75" customHeight="1">
      <c r="A359" s="298" t="s">
        <v>880</v>
      </c>
      <c r="B359" s="327">
        <f>('Pivot Table for Data Exchange'!$N$294)*100</f>
        <v>80.521473845774878</v>
      </c>
      <c r="C359" s="327">
        <f>('Pivot Table for Data Exchange'!$N$297)*100</f>
        <v>0.84133135001468529</v>
      </c>
      <c r="D359" s="328">
        <f t="shared" ref="D359:D361" si="78">SUM(E359:G359)</f>
        <v>18.637194804210448</v>
      </c>
      <c r="E359" s="327">
        <f>('Pivot Table for Data Exchange'!$N$300)*100</f>
        <v>18.637194804210448</v>
      </c>
      <c r="F359" s="327">
        <f>('Pivot Table for Data Exchange'!$N$303)*100</f>
        <v>0</v>
      </c>
      <c r="G359" s="335">
        <f>('Pivot Table for Data Exchange'!$N$306)*100</f>
        <v>0</v>
      </c>
      <c r="H359" s="327">
        <f>('Pivot Table for Data Exchange'!$N$309)*100</f>
        <v>0</v>
      </c>
      <c r="I359" s="373"/>
      <c r="J359" s="366"/>
      <c r="K359" s="366"/>
      <c r="L359" s="366"/>
      <c r="M359" s="366"/>
      <c r="N359" s="366"/>
      <c r="O359" s="366"/>
      <c r="P359" s="366"/>
      <c r="Q359" s="332">
        <f t="shared" si="74"/>
        <v>100.00000000000001</v>
      </c>
      <c r="R359" s="332"/>
      <c r="S359" s="333"/>
      <c r="T359" s="333"/>
      <c r="U359" s="333"/>
      <c r="V359" s="333"/>
      <c r="W359" s="333"/>
      <c r="X359" s="333"/>
      <c r="Y359" s="333"/>
      <c r="Z359" s="333"/>
      <c r="AA359" s="333"/>
      <c r="AB359" s="333"/>
      <c r="AC359" s="333"/>
      <c r="AD359" s="333"/>
      <c r="AE359" s="333"/>
      <c r="AF359" s="333"/>
      <c r="AG359" s="333"/>
      <c r="AH359" s="333"/>
      <c r="AI359" s="333"/>
      <c r="AJ359" s="333"/>
      <c r="AK359" s="333"/>
      <c r="AL359" s="333"/>
      <c r="AM359" s="333"/>
      <c r="AN359" s="333"/>
      <c r="AO359" s="333"/>
    </row>
    <row r="360" spans="1:41" ht="15.75" customHeight="1">
      <c r="A360" s="298" t="s">
        <v>834</v>
      </c>
      <c r="B360" s="327">
        <f>('Pivot Table for Data Exchange'!$N$330)*100</f>
        <v>45.669587396118402</v>
      </c>
      <c r="C360" s="327">
        <f>('Pivot Table for Data Exchange'!$N$333)*100</f>
        <v>4.444454284543272</v>
      </c>
      <c r="D360" s="328">
        <f t="shared" si="78"/>
        <v>49.885958319338322</v>
      </c>
      <c r="E360" s="327">
        <f>('Pivot Table for Data Exchange'!$N$336)*100</f>
        <v>49.080965881526623</v>
      </c>
      <c r="F360" s="327">
        <f>('Pivot Table for Data Exchange'!$N$339)*100</f>
        <v>0.45921425913671621</v>
      </c>
      <c r="G360" s="335">
        <f>('Pivot Table for Data Exchange'!$N$342)*100</f>
        <v>0.34577817867498062</v>
      </c>
      <c r="H360" s="327">
        <f>('Pivot Table for Data Exchange'!$N$345)*100</f>
        <v>0</v>
      </c>
      <c r="I360" s="298"/>
      <c r="J360" s="366"/>
      <c r="K360" s="366"/>
      <c r="L360" s="366"/>
      <c r="M360" s="366"/>
      <c r="N360" s="366"/>
      <c r="O360" s="366"/>
      <c r="P360" s="366"/>
      <c r="Q360" s="332">
        <f t="shared" si="74"/>
        <v>100</v>
      </c>
      <c r="R360" s="332"/>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row>
    <row r="361" spans="1:41" ht="15.75" customHeight="1">
      <c r="A361" s="298" t="s">
        <v>835</v>
      </c>
      <c r="B361" s="327">
        <f>('Pivot Table for Data Exchange'!$N$366)*100</f>
        <v>65.928158268717738</v>
      </c>
      <c r="C361" s="327">
        <f>('Pivot Table for Data Exchange'!$N$369)*100</f>
        <v>3.432521379241567</v>
      </c>
      <c r="D361" s="328">
        <f t="shared" si="78"/>
        <v>30.639320352040688</v>
      </c>
      <c r="E361" s="327">
        <f>('Pivot Table for Data Exchange'!$N$372)*100</f>
        <v>26.726856815178639</v>
      </c>
      <c r="F361" s="327">
        <f>('Pivot Table for Data Exchange'!$N$375)*100</f>
        <v>3.8657159241068091</v>
      </c>
      <c r="G361" s="335">
        <f>('Pivot Table for Data Exchange'!$N$378)*100</f>
        <v>4.6747612755241967E-2</v>
      </c>
      <c r="H361" s="327">
        <f>('Pivot Table for Data Exchange'!$N$381)*100</f>
        <v>0</v>
      </c>
      <c r="I361" s="298"/>
      <c r="J361" s="366"/>
      <c r="K361" s="366"/>
      <c r="L361" s="366"/>
      <c r="M361" s="366"/>
      <c r="N361" s="366"/>
      <c r="O361" s="366"/>
      <c r="P361" s="366"/>
      <c r="Q361" s="332">
        <f t="shared" si="74"/>
        <v>99.999999999999986</v>
      </c>
      <c r="R361" s="332"/>
      <c r="S361" s="333"/>
      <c r="T361" s="307"/>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row>
    <row r="362" spans="1:41" ht="15.75" customHeight="1">
      <c r="A362" s="298" t="s">
        <v>836</v>
      </c>
      <c r="B362" s="327">
        <f>('Pivot Table for Data Exchange'!$N$402)*100</f>
        <v>62.647675643809904</v>
      </c>
      <c r="C362" s="327">
        <f>('Pivot Table for Data Exchange'!$N$405)*100</f>
        <v>15.818699878369817</v>
      </c>
      <c r="D362" s="328">
        <f>SUM(E362:G362)</f>
        <v>21.533624477820283</v>
      </c>
      <c r="E362" s="327">
        <f>('Pivot Table for Data Exchange'!$N$408)*100</f>
        <v>20.088969599230243</v>
      </c>
      <c r="F362" s="327">
        <f>('Pivot Table for Data Exchange'!$N$411)*100</f>
        <v>1.4446548785900384</v>
      </c>
      <c r="G362" s="335">
        <f>('Pivot Table for Data Exchange'!$N$414)*100</f>
        <v>0</v>
      </c>
      <c r="H362" s="327">
        <f>('Pivot Table for Data Exchange'!$N$417)*100</f>
        <v>0</v>
      </c>
      <c r="I362" s="298"/>
      <c r="J362" s="366"/>
      <c r="K362" s="366"/>
      <c r="L362" s="366"/>
      <c r="M362" s="366"/>
      <c r="N362" s="366"/>
      <c r="O362" s="366"/>
      <c r="P362" s="366"/>
      <c r="Q362" s="332">
        <f t="shared" si="74"/>
        <v>100</v>
      </c>
      <c r="R362" s="332"/>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row>
    <row r="363" spans="1:41" ht="12" customHeight="1">
      <c r="B363" s="327"/>
      <c r="C363" s="327"/>
      <c r="D363" s="328"/>
      <c r="E363" s="327"/>
      <c r="F363" s="327"/>
      <c r="G363" s="335"/>
      <c r="H363" s="327"/>
      <c r="I363" s="298"/>
      <c r="J363" s="366"/>
      <c r="K363" s="366"/>
      <c r="L363" s="366"/>
      <c r="M363" s="366"/>
      <c r="N363" s="366"/>
      <c r="O363" s="366"/>
      <c r="P363" s="366"/>
      <c r="Q363" s="332">
        <f t="shared" si="74"/>
        <v>0</v>
      </c>
      <c r="R363" s="332"/>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row>
    <row r="364" spans="1:41" ht="15.75" customHeight="1">
      <c r="A364" s="298" t="s">
        <v>837</v>
      </c>
      <c r="B364" s="327">
        <f>('Pivot Table for Data Exchange'!$N$438)*100</f>
        <v>30.996956011380139</v>
      </c>
      <c r="C364" s="327">
        <f>('Pivot Table for Data Exchange'!$N$441)*100</f>
        <v>41.294789407715413</v>
      </c>
      <c r="D364" s="328">
        <f>SUM(E364:G364)</f>
        <v>27.364065018005295</v>
      </c>
      <c r="E364" s="327">
        <f>('Pivot Table for Data Exchange'!$N$444)*100</f>
        <v>20.547917951574718</v>
      </c>
      <c r="F364" s="327">
        <f>('Pivot Table for Data Exchange'!$N$447)*100</f>
        <v>4.3332073294471085</v>
      </c>
      <c r="G364" s="335">
        <f>('Pivot Table for Data Exchange'!$N$450)*100</f>
        <v>2.4829397369834671</v>
      </c>
      <c r="H364" s="327">
        <f>('Pivot Table for Data Exchange'!$N$453)*100</f>
        <v>0.34418956289915048</v>
      </c>
      <c r="I364" s="298"/>
      <c r="J364" s="366"/>
      <c r="K364" s="366"/>
      <c r="L364" s="366"/>
      <c r="M364" s="366"/>
      <c r="N364" s="366"/>
      <c r="O364" s="366"/>
      <c r="P364" s="366"/>
      <c r="Q364" s="332">
        <f t="shared" si="74"/>
        <v>99.999999999999986</v>
      </c>
      <c r="R364" s="332"/>
      <c r="S364" s="333"/>
      <c r="T364" s="333"/>
      <c r="U364" s="333"/>
      <c r="V364" s="333"/>
      <c r="W364" s="333"/>
      <c r="X364" s="333"/>
      <c r="Y364" s="333"/>
      <c r="Z364" s="333"/>
      <c r="AA364" s="333"/>
      <c r="AB364" s="333"/>
      <c r="AC364" s="333"/>
      <c r="AD364" s="333"/>
      <c r="AE364" s="333"/>
      <c r="AF364" s="333"/>
      <c r="AG364" s="333"/>
      <c r="AH364" s="333"/>
      <c r="AI364" s="333"/>
      <c r="AJ364" s="333"/>
      <c r="AK364" s="333"/>
      <c r="AL364" s="333"/>
      <c r="AM364" s="333"/>
      <c r="AN364" s="333"/>
      <c r="AO364" s="333"/>
    </row>
    <row r="365" spans="1:41" ht="15.75" customHeight="1">
      <c r="A365" s="298" t="s">
        <v>838</v>
      </c>
      <c r="B365" s="327">
        <f>('Pivot Table for Data Exchange'!$N$474)*100</f>
        <v>50.611622552456261</v>
      </c>
      <c r="C365" s="327">
        <f>('Pivot Table for Data Exchange'!$N$477)*100</f>
        <v>12.884682427488345</v>
      </c>
      <c r="D365" s="328">
        <f>SUM(E365:G365)</f>
        <v>36.503695020055389</v>
      </c>
      <c r="E365" s="327">
        <f>('Pivot Table for Data Exchange'!$N$480)*100</f>
        <v>34.563282725541796</v>
      </c>
      <c r="F365" s="327">
        <f>('Pivot Table for Data Exchange'!$N$483)*100</f>
        <v>1.285307650166458</v>
      </c>
      <c r="G365" s="335">
        <f>('Pivot Table for Data Exchange'!$N$486)*100</f>
        <v>0.65510464434713656</v>
      </c>
      <c r="H365" s="327">
        <f>('Pivot Table for Data Exchange'!$N$489)*100</f>
        <v>0</v>
      </c>
      <c r="I365" s="298"/>
      <c r="J365" s="366"/>
      <c r="K365" s="366"/>
      <c r="L365" s="366"/>
      <c r="M365" s="366"/>
      <c r="N365" s="366"/>
      <c r="O365" s="366"/>
      <c r="P365" s="366"/>
      <c r="Q365" s="332">
        <f t="shared" si="74"/>
        <v>100</v>
      </c>
      <c r="R365" s="332"/>
      <c r="S365" s="333"/>
      <c r="T365" s="333"/>
      <c r="U365" s="333"/>
      <c r="V365" s="333"/>
      <c r="W365" s="333"/>
      <c r="X365" s="333"/>
      <c r="Y365" s="333"/>
      <c r="Z365" s="333"/>
      <c r="AA365" s="333"/>
      <c r="AB365" s="333"/>
      <c r="AC365" s="333"/>
      <c r="AD365" s="333"/>
      <c r="AE365" s="333"/>
      <c r="AF365" s="333"/>
      <c r="AG365" s="333"/>
      <c r="AH365" s="333"/>
      <c r="AI365" s="333"/>
      <c r="AJ365" s="333"/>
      <c r="AK365" s="333"/>
      <c r="AL365" s="333"/>
      <c r="AM365" s="333"/>
      <c r="AN365" s="333"/>
      <c r="AO365" s="333"/>
    </row>
    <row r="366" spans="1:41" ht="15.75" customHeight="1">
      <c r="A366" s="298" t="s">
        <v>839</v>
      </c>
      <c r="B366" s="327">
        <f>('Pivot Table for Data Exchange'!$N$510)*100</f>
        <v>38.04701981161849</v>
      </c>
      <c r="C366" s="327">
        <f>('Pivot Table for Data Exchange'!$N$513)*100</f>
        <v>25.933573070067435</v>
      </c>
      <c r="D366" s="328">
        <f t="shared" ref="D366" si="79">SUM(E366:G366)</f>
        <v>36.019407118314078</v>
      </c>
      <c r="E366" s="327">
        <f>('Pivot Table for Data Exchange'!$N$516)*100</f>
        <v>29.444723495237124</v>
      </c>
      <c r="F366" s="327">
        <f>('Pivot Table for Data Exchange'!$N$519)*100</f>
        <v>6.5746836230769574</v>
      </c>
      <c r="G366" s="335">
        <f>('Pivot Table for Data Exchange'!$N$522)*100</f>
        <v>0</v>
      </c>
      <c r="H366" s="327">
        <f>('Pivot Table for Data Exchange'!$N$525)*100</f>
        <v>0</v>
      </c>
      <c r="I366" s="298"/>
      <c r="J366" s="366"/>
      <c r="K366" s="366"/>
      <c r="L366" s="366"/>
      <c r="M366" s="366"/>
      <c r="N366" s="366"/>
      <c r="O366" s="366"/>
      <c r="P366" s="366"/>
      <c r="Q366" s="332">
        <f t="shared" si="74"/>
        <v>100</v>
      </c>
      <c r="R366" s="332"/>
      <c r="S366" s="333"/>
      <c r="T366" s="333"/>
      <c r="U366" s="333"/>
      <c r="V366" s="333"/>
      <c r="W366" s="333"/>
      <c r="X366" s="333"/>
      <c r="Y366" s="333"/>
      <c r="Z366" s="333"/>
      <c r="AA366" s="333"/>
      <c r="AB366" s="333"/>
      <c r="AC366" s="333"/>
      <c r="AD366" s="333"/>
      <c r="AE366" s="333"/>
      <c r="AF366" s="333"/>
      <c r="AG366" s="333"/>
      <c r="AH366" s="333"/>
      <c r="AI366" s="333"/>
      <c r="AJ366" s="333"/>
      <c r="AK366" s="333"/>
      <c r="AL366" s="333"/>
      <c r="AM366" s="333"/>
      <c r="AN366" s="333"/>
      <c r="AO366" s="333"/>
    </row>
    <row r="367" spans="1:41" ht="15.75" customHeight="1">
      <c r="A367" s="304" t="s">
        <v>840</v>
      </c>
      <c r="B367" s="340">
        <f>('Pivot Table for Data Exchange'!$N$546)*100</f>
        <v>59.374050025446515</v>
      </c>
      <c r="C367" s="340">
        <f>('Pivot Table for Data Exchange'!$N$549)*100</f>
        <v>12.800106567931932</v>
      </c>
      <c r="D367" s="341">
        <f>SUM(E367:G367)</f>
        <v>27.825843406621555</v>
      </c>
      <c r="E367" s="340">
        <f>('Pivot Table for Data Exchange'!$N$552)*100</f>
        <v>25.974908717051893</v>
      </c>
      <c r="F367" s="340">
        <f>('Pivot Table for Data Exchange'!$N$555)*100</f>
        <v>1.8509346895696637</v>
      </c>
      <c r="G367" s="342">
        <f>('Pivot Table for Data Exchange'!$N$558)*100</f>
        <v>0</v>
      </c>
      <c r="H367" s="340">
        <f>('Pivot Table for Data Exchange'!$N$561)*100</f>
        <v>0</v>
      </c>
      <c r="I367" s="298"/>
      <c r="J367" s="366"/>
      <c r="K367" s="366"/>
      <c r="L367" s="366"/>
      <c r="M367" s="366"/>
      <c r="N367" s="366"/>
      <c r="O367" s="366"/>
      <c r="P367" s="366"/>
      <c r="Q367" s="332">
        <f t="shared" si="74"/>
        <v>100</v>
      </c>
      <c r="R367" s="332"/>
      <c r="S367" s="333"/>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33"/>
    </row>
    <row r="368" spans="1:41" s="345" customFormat="1" ht="11.25" customHeight="1">
      <c r="A368" s="346" t="s">
        <v>866</v>
      </c>
      <c r="B368" s="347"/>
      <c r="C368" s="347"/>
      <c r="D368" s="348"/>
      <c r="E368" s="347"/>
      <c r="F368" s="348"/>
      <c r="G368" s="348"/>
      <c r="H368" s="347"/>
      <c r="I368" s="356"/>
      <c r="J368" s="347"/>
      <c r="K368" s="347"/>
      <c r="L368" s="348"/>
      <c r="M368" s="347"/>
      <c r="N368" s="348"/>
      <c r="O368" s="348"/>
      <c r="P368" s="347"/>
      <c r="Q368" s="332">
        <f t="shared" si="74"/>
        <v>0</v>
      </c>
      <c r="R368" s="367"/>
      <c r="S368" s="349"/>
      <c r="T368" s="349"/>
      <c r="U368" s="349"/>
      <c r="V368" s="349"/>
      <c r="W368" s="349"/>
      <c r="X368" s="349"/>
      <c r="Y368" s="349"/>
      <c r="Z368" s="349"/>
      <c r="AA368" s="349"/>
      <c r="AB368" s="349"/>
      <c r="AC368" s="349"/>
      <c r="AD368" s="349"/>
      <c r="AE368" s="349"/>
      <c r="AF368" s="349"/>
      <c r="AG368" s="349"/>
      <c r="AH368" s="349"/>
      <c r="AI368" s="349"/>
      <c r="AJ368" s="349"/>
      <c r="AK368" s="349"/>
      <c r="AL368" s="349"/>
      <c r="AM368" s="349"/>
      <c r="AN368" s="349"/>
      <c r="AO368" s="349"/>
    </row>
    <row r="369" spans="1:41" s="345" customFormat="1" ht="24" customHeight="1">
      <c r="A369" s="455" t="s">
        <v>881</v>
      </c>
      <c r="B369" s="467"/>
      <c r="C369" s="467"/>
      <c r="D369" s="467"/>
      <c r="E369" s="467"/>
      <c r="F369" s="467"/>
      <c r="G369" s="467"/>
      <c r="H369" s="467"/>
      <c r="I369" s="356"/>
      <c r="P369" s="358"/>
      <c r="Q369" s="332">
        <f t="shared" si="74"/>
        <v>0</v>
      </c>
      <c r="R369" s="368"/>
    </row>
    <row r="370" spans="1:41" s="345" customFormat="1" ht="13.5" customHeight="1">
      <c r="A370" s="356"/>
      <c r="I370" s="356"/>
      <c r="Q370" s="332">
        <f t="shared" si="74"/>
        <v>0</v>
      </c>
      <c r="R370" s="368"/>
    </row>
    <row r="371" spans="1:41" s="345" customFormat="1">
      <c r="B371" s="347"/>
      <c r="C371" s="347"/>
      <c r="D371" s="348"/>
      <c r="E371" s="347"/>
      <c r="F371" s="348"/>
      <c r="G371" s="348"/>
      <c r="H371" s="351" t="s">
        <v>980</v>
      </c>
      <c r="I371" s="372"/>
      <c r="Q371" s="332">
        <f t="shared" si="74"/>
        <v>0</v>
      </c>
      <c r="R371" s="367"/>
      <c r="S371" s="349"/>
      <c r="T371" s="349"/>
      <c r="U371" s="349"/>
      <c r="V371" s="349"/>
      <c r="W371" s="349"/>
      <c r="X371" s="349"/>
      <c r="Y371" s="349"/>
      <c r="Z371" s="349"/>
      <c r="AA371" s="349"/>
      <c r="AB371" s="349"/>
      <c r="AC371" s="349"/>
      <c r="AD371" s="349"/>
      <c r="AE371" s="349"/>
      <c r="AF371" s="349"/>
      <c r="AG371" s="349"/>
      <c r="AH371" s="349"/>
      <c r="AI371" s="349"/>
      <c r="AJ371" s="349"/>
      <c r="AK371" s="349"/>
      <c r="AL371" s="349"/>
      <c r="AM371" s="349"/>
      <c r="AN371" s="349"/>
      <c r="AO371" s="349"/>
    </row>
    <row r="372" spans="1:41" ht="18">
      <c r="A372" s="293" t="s">
        <v>887</v>
      </c>
      <c r="B372" s="294"/>
      <c r="C372" s="294"/>
      <c r="D372" s="294"/>
      <c r="E372" s="294"/>
      <c r="F372" s="294"/>
      <c r="G372" s="294"/>
      <c r="H372" s="294"/>
      <c r="Q372" s="332">
        <f t="shared" si="74"/>
        <v>0</v>
      </c>
    </row>
    <row r="373" spans="1:41">
      <c r="A373" s="299"/>
      <c r="B373" s="295"/>
      <c r="C373" s="295"/>
      <c r="D373" s="295"/>
      <c r="E373" s="295"/>
      <c r="F373" s="295"/>
      <c r="G373" s="295"/>
      <c r="H373" s="295"/>
      <c r="Q373" s="332">
        <f t="shared" si="74"/>
        <v>0</v>
      </c>
    </row>
    <row r="374" spans="1:41" ht="15.75">
      <c r="A374" s="301" t="s">
        <v>846</v>
      </c>
      <c r="B374" s="295"/>
      <c r="C374" s="295"/>
      <c r="D374" s="295"/>
      <c r="E374" s="295"/>
      <c r="F374" s="295"/>
      <c r="G374" s="295"/>
      <c r="H374" s="295"/>
      <c r="Q374" s="332">
        <f t="shared" si="74"/>
        <v>0</v>
      </c>
    </row>
    <row r="375" spans="1:41" ht="15.75">
      <c r="A375" s="301" t="s">
        <v>903</v>
      </c>
      <c r="B375" s="295"/>
      <c r="C375" s="295"/>
      <c r="D375" s="295"/>
      <c r="E375" s="295"/>
      <c r="F375" s="295"/>
      <c r="G375" s="295"/>
      <c r="H375" s="295"/>
      <c r="Q375" s="332">
        <f t="shared" si="74"/>
        <v>0</v>
      </c>
    </row>
    <row r="376" spans="1:41">
      <c r="A376" s="304"/>
      <c r="B376" s="305"/>
      <c r="C376" s="305"/>
      <c r="D376" s="305"/>
      <c r="E376" s="305"/>
      <c r="F376" s="305"/>
      <c r="G376" s="305"/>
      <c r="H376" s="305"/>
      <c r="Q376" s="332">
        <f t="shared" si="74"/>
        <v>0</v>
      </c>
    </row>
    <row r="377" spans="1:41">
      <c r="A377" s="309"/>
      <c r="B377" s="310" t="s">
        <v>848</v>
      </c>
      <c r="C377" s="310"/>
      <c r="D377" s="310"/>
      <c r="E377" s="310"/>
      <c r="F377" s="310"/>
      <c r="G377" s="310"/>
      <c r="H377" s="311"/>
      <c r="Q377" s="332">
        <f t="shared" si="74"/>
        <v>0</v>
      </c>
    </row>
    <row r="378" spans="1:41">
      <c r="A378" s="309"/>
      <c r="B378" s="310" t="s">
        <v>849</v>
      </c>
      <c r="C378" s="310"/>
      <c r="D378" s="450" t="s">
        <v>850</v>
      </c>
      <c r="E378" s="448"/>
      <c r="F378" s="448"/>
      <c r="G378" s="448"/>
      <c r="H378" s="317" t="s">
        <v>740</v>
      </c>
      <c r="Q378" s="332">
        <f t="shared" si="74"/>
        <v>0</v>
      </c>
    </row>
    <row r="379" spans="1:41" ht="36">
      <c r="A379" s="309"/>
      <c r="B379" s="318" t="s">
        <v>851</v>
      </c>
      <c r="C379" s="319" t="s">
        <v>852</v>
      </c>
      <c r="D379" s="320" t="s">
        <v>853</v>
      </c>
      <c r="E379" s="321" t="s">
        <v>8</v>
      </c>
      <c r="F379" s="318" t="s">
        <v>854</v>
      </c>
      <c r="G379" s="322" t="s">
        <v>864</v>
      </c>
      <c r="H379" s="323" t="s">
        <v>856</v>
      </c>
      <c r="Q379" s="332">
        <f t="shared" si="74"/>
        <v>0</v>
      </c>
    </row>
    <row r="380" spans="1:41" ht="15.75" customHeight="1">
      <c r="A380" s="353" t="s">
        <v>825</v>
      </c>
      <c r="B380" s="327">
        <f>('Pivot Table for Data Exchange'!$R$6)*100</f>
        <v>85.974035162191797</v>
      </c>
      <c r="C380" s="327">
        <f>('Pivot Table for Data Exchange'!$R$9)*100</f>
        <v>4.9158677939321045</v>
      </c>
      <c r="D380" s="328">
        <f>SUM(E380:G380)</f>
        <v>9.1100970438760953</v>
      </c>
      <c r="E380" s="327">
        <f>('Pivot Table for Data Exchange'!$R$12)*100</f>
        <v>9.1100970438760953</v>
      </c>
      <c r="F380" s="327">
        <f>('Pivot Table for Data Exchange'!$R$15)*100</f>
        <v>0</v>
      </c>
      <c r="G380" s="331">
        <f>('Pivot Table for Data Exchange'!$R$18)*100</f>
        <v>0</v>
      </c>
      <c r="H380" s="327">
        <f>('Pivot Table for Data Exchange'!$R$21)*100</f>
        <v>0</v>
      </c>
      <c r="I380" s="298"/>
      <c r="J380" s="366"/>
      <c r="K380" s="366"/>
      <c r="L380" s="366"/>
      <c r="M380" s="366"/>
      <c r="N380" s="366"/>
      <c r="O380" s="366"/>
      <c r="P380" s="366"/>
      <c r="Q380" s="332">
        <f t="shared" si="74"/>
        <v>100</v>
      </c>
      <c r="R380" s="332"/>
      <c r="S380" s="333"/>
      <c r="T380" s="333"/>
      <c r="U380" s="333"/>
      <c r="V380" s="333"/>
      <c r="W380" s="333"/>
      <c r="X380" s="333"/>
      <c r="Y380" s="333"/>
      <c r="Z380" s="333"/>
      <c r="AA380" s="333"/>
      <c r="AB380" s="333"/>
      <c r="AC380" s="333"/>
      <c r="AD380" s="333"/>
      <c r="AE380" s="333"/>
      <c r="AF380" s="333"/>
      <c r="AG380" s="333"/>
      <c r="AH380" s="333"/>
      <c r="AI380" s="333"/>
      <c r="AJ380" s="333"/>
      <c r="AK380" s="333"/>
      <c r="AL380" s="333"/>
      <c r="AM380" s="333"/>
      <c r="AN380" s="333"/>
      <c r="AO380" s="333"/>
    </row>
    <row r="381" spans="1:41" ht="15.75" customHeight="1">
      <c r="A381" s="298" t="s">
        <v>826</v>
      </c>
      <c r="B381" s="327">
        <f>('Pivot Table for Data Exchange'!$R$42)*100</f>
        <v>0</v>
      </c>
      <c r="C381" s="327">
        <f>('Pivot Table for Data Exchange'!$R$45)*100</f>
        <v>0</v>
      </c>
      <c r="D381" s="328">
        <f t="shared" ref="D381:D383" si="80">SUM(E381:G381)</f>
        <v>0</v>
      </c>
      <c r="E381" s="327">
        <f>('Pivot Table for Data Exchange'!$R$48)*100</f>
        <v>0</v>
      </c>
      <c r="F381" s="327">
        <f>('Pivot Table for Data Exchange'!$R$51)*100</f>
        <v>0</v>
      </c>
      <c r="G381" s="335">
        <f>('Pivot Table for Data Exchange'!$R$54)*100</f>
        <v>0</v>
      </c>
      <c r="H381" s="327">
        <f>('Pivot Table for Data Exchange'!$R$57)*100</f>
        <v>0</v>
      </c>
      <c r="I381" s="298"/>
      <c r="J381" s="366"/>
      <c r="K381" s="366"/>
      <c r="L381" s="366"/>
      <c r="M381" s="366"/>
      <c r="N381" s="366"/>
      <c r="O381" s="366"/>
      <c r="P381" s="366"/>
      <c r="Q381" s="332">
        <f t="shared" si="74"/>
        <v>0</v>
      </c>
      <c r="R381" s="332"/>
      <c r="S381" s="333"/>
      <c r="T381" s="333"/>
      <c r="U381" s="333"/>
      <c r="V381" s="333"/>
      <c r="W381" s="333"/>
      <c r="X381" s="333"/>
      <c r="Y381" s="333"/>
      <c r="Z381" s="333"/>
      <c r="AA381" s="333"/>
      <c r="AB381" s="333"/>
      <c r="AC381" s="333"/>
      <c r="AD381" s="333"/>
      <c r="AE381" s="333"/>
      <c r="AF381" s="333"/>
      <c r="AG381" s="333"/>
      <c r="AH381" s="333"/>
      <c r="AI381" s="333"/>
      <c r="AJ381" s="333"/>
      <c r="AK381" s="333"/>
      <c r="AL381" s="333"/>
      <c r="AM381" s="333"/>
      <c r="AN381" s="333"/>
      <c r="AO381" s="333"/>
    </row>
    <row r="382" spans="1:41" ht="15.75" customHeight="1">
      <c r="A382" s="298" t="s">
        <v>827</v>
      </c>
      <c r="B382" s="327">
        <f>('Pivot Table for Data Exchange'!$R$78)*100</f>
        <v>0</v>
      </c>
      <c r="C382" s="327">
        <f>('Pivot Table for Data Exchange'!$R$81)*100</f>
        <v>0</v>
      </c>
      <c r="D382" s="328">
        <f t="shared" si="80"/>
        <v>0</v>
      </c>
      <c r="E382" s="327">
        <f>('Pivot Table for Data Exchange'!$R$84)*100</f>
        <v>0</v>
      </c>
      <c r="F382" s="327">
        <f>('Pivot Table for Data Exchange'!$R$87)*100</f>
        <v>0</v>
      </c>
      <c r="G382" s="335">
        <f>('Pivot Table for Data Exchange'!$R$90)*100</f>
        <v>0</v>
      </c>
      <c r="H382" s="327">
        <f>('Pivot Table for Data Exchange'!$R$93)*100</f>
        <v>0</v>
      </c>
      <c r="I382" s="298"/>
      <c r="J382" s="366"/>
      <c r="K382" s="366"/>
      <c r="L382" s="366"/>
      <c r="M382" s="366"/>
      <c r="N382" s="366"/>
      <c r="O382" s="366"/>
      <c r="P382" s="366"/>
      <c r="Q382" s="332">
        <f t="shared" si="74"/>
        <v>0</v>
      </c>
      <c r="R382" s="332"/>
      <c r="S382" s="333"/>
      <c r="T382" s="307"/>
      <c r="U382" s="333"/>
      <c r="V382" s="333"/>
      <c r="W382" s="333"/>
      <c r="X382" s="333"/>
      <c r="Y382" s="333"/>
      <c r="Z382" s="333"/>
      <c r="AA382" s="333"/>
      <c r="AB382" s="333"/>
      <c r="AC382" s="333"/>
      <c r="AD382" s="333"/>
      <c r="AE382" s="333"/>
      <c r="AF382" s="333"/>
      <c r="AG382" s="333"/>
      <c r="AH382" s="333"/>
      <c r="AI382" s="333"/>
      <c r="AJ382" s="333"/>
      <c r="AK382" s="333"/>
      <c r="AL382" s="333"/>
      <c r="AM382" s="333"/>
      <c r="AN382" s="333"/>
      <c r="AO382" s="333"/>
    </row>
    <row r="383" spans="1:41" ht="15.75" customHeight="1">
      <c r="A383" s="298" t="s">
        <v>828</v>
      </c>
      <c r="B383" s="327">
        <f>('Pivot Table for Data Exchange'!$R$114)*100</f>
        <v>0</v>
      </c>
      <c r="C383" s="327">
        <f>('Pivot Table for Data Exchange'!$R$117)*100</f>
        <v>0</v>
      </c>
      <c r="D383" s="328">
        <f t="shared" si="80"/>
        <v>0</v>
      </c>
      <c r="E383" s="327">
        <f>('Pivot Table for Data Exchange'!$R$120)*100</f>
        <v>0</v>
      </c>
      <c r="F383" s="327">
        <f>('Pivot Table for Data Exchange'!$R$123)*100</f>
        <v>0</v>
      </c>
      <c r="G383" s="335">
        <f>('Pivot Table for Data Exchange'!$R$126)*100</f>
        <v>0</v>
      </c>
      <c r="H383" s="327">
        <f>('Pivot Table for Data Exchange'!$R$129)*100</f>
        <v>0</v>
      </c>
      <c r="I383" s="298"/>
      <c r="J383" s="366"/>
      <c r="K383" s="366"/>
      <c r="L383" s="366"/>
      <c r="M383" s="366"/>
      <c r="N383" s="366"/>
      <c r="O383" s="366"/>
      <c r="P383" s="366"/>
      <c r="Q383" s="332">
        <f t="shared" si="74"/>
        <v>0</v>
      </c>
      <c r="R383" s="332"/>
      <c r="S383" s="333"/>
      <c r="U383" s="333"/>
      <c r="V383" s="333"/>
      <c r="W383" s="333"/>
      <c r="X383" s="333"/>
      <c r="Y383" s="333"/>
      <c r="Z383" s="333"/>
      <c r="AA383" s="333"/>
      <c r="AB383" s="333"/>
      <c r="AC383" s="333"/>
      <c r="AD383" s="333"/>
      <c r="AE383" s="333"/>
      <c r="AF383" s="333"/>
      <c r="AG383" s="333"/>
      <c r="AH383" s="333"/>
      <c r="AI383" s="333"/>
      <c r="AJ383" s="333"/>
      <c r="AK383" s="333"/>
      <c r="AL383" s="333"/>
      <c r="AM383" s="333"/>
      <c r="AN383" s="333"/>
      <c r="AO383" s="333"/>
    </row>
    <row r="384" spans="1:41" ht="15.75" customHeight="1">
      <c r="B384" s="327"/>
      <c r="C384" s="327"/>
      <c r="D384" s="328"/>
      <c r="E384" s="327"/>
      <c r="F384" s="327"/>
      <c r="G384" s="335"/>
      <c r="H384" s="327"/>
      <c r="I384" s="298"/>
      <c r="J384" s="366"/>
      <c r="K384" s="366"/>
      <c r="L384" s="366"/>
      <c r="M384" s="366"/>
      <c r="N384" s="366"/>
      <c r="O384" s="366"/>
      <c r="P384" s="366"/>
      <c r="Q384" s="332">
        <f t="shared" si="74"/>
        <v>0</v>
      </c>
      <c r="R384" s="332"/>
      <c r="S384" s="333"/>
      <c r="U384" s="333"/>
      <c r="V384" s="333"/>
      <c r="W384" s="333"/>
      <c r="X384" s="333"/>
      <c r="Y384" s="333"/>
      <c r="Z384" s="333"/>
      <c r="AA384" s="333"/>
      <c r="AB384" s="333"/>
      <c r="AC384" s="333"/>
      <c r="AD384" s="333"/>
      <c r="AE384" s="333"/>
      <c r="AF384" s="333"/>
      <c r="AG384" s="333"/>
      <c r="AH384" s="333"/>
      <c r="AI384" s="333"/>
      <c r="AJ384" s="333"/>
      <c r="AK384" s="333"/>
      <c r="AL384" s="333"/>
      <c r="AM384" s="333"/>
      <c r="AN384" s="333"/>
      <c r="AO384" s="333"/>
    </row>
    <row r="385" spans="1:41" ht="15.75" customHeight="1">
      <c r="A385" s="298" t="s">
        <v>829</v>
      </c>
      <c r="B385" s="327">
        <f>('Pivot Table for Data Exchange'!$R$150)*100</f>
        <v>66.080643318978389</v>
      </c>
      <c r="C385" s="327">
        <f>('Pivot Table for Data Exchange'!$R$153)*100</f>
        <v>0</v>
      </c>
      <c r="D385" s="328">
        <f t="shared" ref="D385:D388" si="81">SUM(E385:G385)</f>
        <v>33.919356681021604</v>
      </c>
      <c r="E385" s="327">
        <f>('Pivot Table for Data Exchange'!$R$156)*100</f>
        <v>33.335520006753896</v>
      </c>
      <c r="F385" s="327">
        <f>('Pivot Table for Data Exchange'!$R$159)*100</f>
        <v>0.58383667426770758</v>
      </c>
      <c r="G385" s="335">
        <f>('Pivot Table for Data Exchange'!$R$162)*100</f>
        <v>0</v>
      </c>
      <c r="H385" s="327">
        <f>('Pivot Table for Data Exchange'!$R$165)*100</f>
        <v>0</v>
      </c>
      <c r="I385" s="298"/>
      <c r="J385" s="366"/>
      <c r="K385" s="366"/>
      <c r="L385" s="366"/>
      <c r="M385" s="366"/>
      <c r="N385" s="366"/>
      <c r="O385" s="366"/>
      <c r="P385" s="366"/>
      <c r="Q385" s="332">
        <f t="shared" si="74"/>
        <v>100</v>
      </c>
      <c r="R385" s="332"/>
      <c r="S385" s="333"/>
      <c r="T385" s="333"/>
      <c r="U385" s="333"/>
      <c r="V385" s="333"/>
      <c r="W385" s="333"/>
      <c r="X385" s="333"/>
      <c r="Y385" s="333"/>
      <c r="Z385" s="333"/>
      <c r="AA385" s="333"/>
      <c r="AB385" s="333"/>
      <c r="AC385" s="333"/>
      <c r="AD385" s="333"/>
      <c r="AE385" s="333"/>
      <c r="AF385" s="333"/>
      <c r="AG385" s="333"/>
      <c r="AH385" s="333"/>
      <c r="AI385" s="333"/>
      <c r="AJ385" s="333"/>
      <c r="AK385" s="333"/>
      <c r="AL385" s="333"/>
      <c r="AM385" s="333"/>
      <c r="AN385" s="333"/>
      <c r="AO385" s="333"/>
    </row>
    <row r="386" spans="1:41" ht="15.75" customHeight="1">
      <c r="A386" s="298" t="s">
        <v>830</v>
      </c>
      <c r="B386" s="327">
        <f>('Pivot Table for Data Exchange'!$R$186)*100</f>
        <v>63.034016451519307</v>
      </c>
      <c r="C386" s="327">
        <f>('Pivot Table for Data Exchange'!$R$189)*100</f>
        <v>5.3275120957130229</v>
      </c>
      <c r="D386" s="328">
        <f t="shared" si="81"/>
        <v>31.638471452767675</v>
      </c>
      <c r="E386" s="327">
        <f>('Pivot Table for Data Exchange'!$R$192)*100</f>
        <v>31.638471452767675</v>
      </c>
      <c r="F386" s="327">
        <f>('Pivot Table for Data Exchange'!$R$195)*100</f>
        <v>0</v>
      </c>
      <c r="G386" s="335">
        <f>('Pivot Table for Data Exchange'!$R$198)*100</f>
        <v>0</v>
      </c>
      <c r="H386" s="327">
        <f>('Pivot Table for Data Exchange'!$R$201)*100</f>
        <v>0</v>
      </c>
      <c r="I386" s="298"/>
      <c r="J386" s="366"/>
      <c r="K386" s="366"/>
      <c r="L386" s="366"/>
      <c r="M386" s="366"/>
      <c r="N386" s="366"/>
      <c r="O386" s="366"/>
      <c r="P386" s="366"/>
      <c r="Q386" s="332">
        <f t="shared" si="74"/>
        <v>100</v>
      </c>
      <c r="R386" s="332"/>
      <c r="S386" s="333"/>
      <c r="T386" s="333"/>
      <c r="U386" s="333"/>
      <c r="V386" s="333"/>
      <c r="W386" s="333"/>
      <c r="X386" s="333"/>
      <c r="Y386" s="333"/>
      <c r="Z386" s="333"/>
      <c r="AA386" s="333"/>
      <c r="AB386" s="333"/>
      <c r="AC386" s="333"/>
      <c r="AD386" s="333"/>
      <c r="AE386" s="333"/>
      <c r="AF386" s="333"/>
      <c r="AG386" s="333"/>
      <c r="AH386" s="333"/>
      <c r="AI386" s="333"/>
      <c r="AJ386" s="333"/>
      <c r="AK386" s="333"/>
      <c r="AL386" s="333"/>
      <c r="AM386" s="333"/>
      <c r="AN386" s="333"/>
      <c r="AO386" s="333"/>
    </row>
    <row r="387" spans="1:41" ht="15.75" customHeight="1">
      <c r="A387" s="298" t="s">
        <v>831</v>
      </c>
      <c r="B387" s="327">
        <f>('Pivot Table for Data Exchange'!$R$222)*100</f>
        <v>85.049681222156266</v>
      </c>
      <c r="C387" s="327">
        <f>('Pivot Table for Data Exchange'!$R$225)*100</f>
        <v>0</v>
      </c>
      <c r="D387" s="328">
        <f t="shared" si="81"/>
        <v>14.950318777843735</v>
      </c>
      <c r="E387" s="327">
        <f>('Pivot Table for Data Exchange'!$R$228)*100</f>
        <v>14.950318777843735</v>
      </c>
      <c r="F387" s="327">
        <f>('Pivot Table for Data Exchange'!$R$231)*100</f>
        <v>0</v>
      </c>
      <c r="G387" s="335">
        <f>('Pivot Table for Data Exchange'!$R$234)*100</f>
        <v>0</v>
      </c>
      <c r="H387" s="327">
        <f>('Pivot Table for Data Exchange'!$R$237)*100</f>
        <v>0</v>
      </c>
      <c r="I387" s="373"/>
      <c r="J387" s="366"/>
      <c r="K387" s="366"/>
      <c r="L387" s="366"/>
      <c r="M387" s="366"/>
      <c r="N387" s="366"/>
      <c r="O387" s="366"/>
      <c r="P387" s="366"/>
      <c r="Q387" s="332">
        <f>SUM(I387,C387,D387,H387)</f>
        <v>14.950318777843735</v>
      </c>
      <c r="R387" s="332"/>
      <c r="S387" s="333"/>
      <c r="T387" s="307"/>
      <c r="U387" s="333"/>
      <c r="V387" s="333"/>
      <c r="W387" s="333"/>
      <c r="X387" s="333"/>
      <c r="Y387" s="333"/>
      <c r="Z387" s="333"/>
      <c r="AA387" s="333"/>
      <c r="AB387" s="333"/>
      <c r="AC387" s="333"/>
      <c r="AD387" s="333"/>
      <c r="AE387" s="333"/>
      <c r="AF387" s="333"/>
      <c r="AG387" s="333"/>
      <c r="AH387" s="333"/>
      <c r="AI387" s="333"/>
      <c r="AJ387" s="333"/>
      <c r="AK387" s="333"/>
      <c r="AL387" s="333"/>
      <c r="AM387" s="333"/>
      <c r="AN387" s="333"/>
      <c r="AO387" s="333"/>
    </row>
    <row r="388" spans="1:41" ht="15.75" customHeight="1">
      <c r="A388" s="298" t="s">
        <v>832</v>
      </c>
      <c r="B388" s="327">
        <f>('Pivot Table for Data Exchange'!$R$258)*100</f>
        <v>0</v>
      </c>
      <c r="C388" s="327">
        <f>('Pivot Table for Data Exchange'!$R$261)*100</f>
        <v>0</v>
      </c>
      <c r="D388" s="328">
        <f t="shared" si="81"/>
        <v>0</v>
      </c>
      <c r="E388" s="327">
        <f>('Pivot Table for Data Exchange'!$R$264)*100</f>
        <v>0</v>
      </c>
      <c r="F388" s="327">
        <f>('Pivot Table for Data Exchange'!$R$267)*100</f>
        <v>0</v>
      </c>
      <c r="G388" s="335">
        <f>('Pivot Table for Data Exchange'!$R$270)*100</f>
        <v>0</v>
      </c>
      <c r="H388" s="327">
        <f>('Pivot Table for Data Exchange'!$R$273)*100</f>
        <v>0</v>
      </c>
      <c r="I388" s="298"/>
      <c r="J388" s="366"/>
      <c r="K388" s="366"/>
      <c r="L388" s="366"/>
      <c r="M388" s="366"/>
      <c r="N388" s="366"/>
      <c r="O388" s="366"/>
      <c r="P388" s="366"/>
      <c r="Q388" s="332">
        <f t="shared" si="74"/>
        <v>0</v>
      </c>
      <c r="R388" s="332"/>
      <c r="S388" s="333"/>
      <c r="U388" s="333"/>
      <c r="V388" s="333"/>
      <c r="W388" s="333"/>
      <c r="X388" s="333"/>
      <c r="Y388" s="333"/>
      <c r="Z388" s="333"/>
      <c r="AA388" s="333"/>
      <c r="AB388" s="333"/>
      <c r="AC388" s="333"/>
      <c r="AD388" s="333"/>
      <c r="AE388" s="333"/>
      <c r="AF388" s="333"/>
      <c r="AG388" s="333"/>
      <c r="AH388" s="333"/>
      <c r="AI388" s="333"/>
      <c r="AJ388" s="333"/>
      <c r="AK388" s="333"/>
      <c r="AL388" s="333"/>
      <c r="AM388" s="333"/>
      <c r="AN388" s="333"/>
      <c r="AO388" s="333"/>
    </row>
    <row r="389" spans="1:41" ht="15.75" customHeight="1">
      <c r="B389" s="327"/>
      <c r="C389" s="327"/>
      <c r="D389" s="328"/>
      <c r="E389" s="327"/>
      <c r="F389" s="327"/>
      <c r="G389" s="335"/>
      <c r="H389" s="327"/>
      <c r="I389" s="298"/>
      <c r="J389" s="366"/>
      <c r="K389" s="366"/>
      <c r="L389" s="366"/>
      <c r="M389" s="366"/>
      <c r="N389" s="366"/>
      <c r="O389" s="366"/>
      <c r="P389" s="366"/>
      <c r="Q389" s="332">
        <f t="shared" si="74"/>
        <v>0</v>
      </c>
      <c r="R389" s="332"/>
      <c r="S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1:41" ht="15.75" customHeight="1">
      <c r="A390" s="298" t="s">
        <v>833</v>
      </c>
      <c r="B390" s="327">
        <f>('Pivot Table for Data Exchange'!$R$294)*100</f>
        <v>0</v>
      </c>
      <c r="C390" s="327">
        <f>('Pivot Table for Data Exchange'!$R$297)*100</f>
        <v>0</v>
      </c>
      <c r="D390" s="328">
        <f t="shared" ref="D390:D392" si="82">SUM(E390:G390)</f>
        <v>0</v>
      </c>
      <c r="E390" s="327">
        <f>('Pivot Table for Data Exchange'!$R$300)*100</f>
        <v>0</v>
      </c>
      <c r="F390" s="327">
        <f>('Pivot Table for Data Exchange'!$R$303)*100</f>
        <v>0</v>
      </c>
      <c r="G390" s="335">
        <f>('Pivot Table for Data Exchange'!$R$306)*100</f>
        <v>0</v>
      </c>
      <c r="H390" s="327">
        <f>('Pivot Table for Data Exchange'!$R$309)*100</f>
        <v>0</v>
      </c>
      <c r="I390" s="298"/>
      <c r="J390" s="366"/>
      <c r="K390" s="366"/>
      <c r="L390" s="366"/>
      <c r="M390" s="366"/>
      <c r="N390" s="366"/>
      <c r="O390" s="366"/>
      <c r="P390" s="366"/>
      <c r="Q390" s="332">
        <f t="shared" si="74"/>
        <v>0</v>
      </c>
      <c r="R390" s="332"/>
      <c r="S390" s="333"/>
      <c r="T390" s="333"/>
      <c r="U390" s="333"/>
      <c r="V390" s="333"/>
      <c r="W390" s="333"/>
      <c r="X390" s="333"/>
      <c r="Y390" s="333"/>
      <c r="Z390" s="333"/>
      <c r="AA390" s="333"/>
      <c r="AB390" s="333"/>
      <c r="AC390" s="333"/>
      <c r="AD390" s="333"/>
      <c r="AE390" s="333"/>
      <c r="AF390" s="333"/>
      <c r="AG390" s="333"/>
      <c r="AH390" s="333"/>
      <c r="AI390" s="333"/>
      <c r="AJ390" s="333"/>
      <c r="AK390" s="333"/>
      <c r="AL390" s="333"/>
      <c r="AM390" s="333"/>
      <c r="AN390" s="333"/>
      <c r="AO390" s="333"/>
    </row>
    <row r="391" spans="1:41" ht="15.75" customHeight="1">
      <c r="A391" s="298" t="s">
        <v>834</v>
      </c>
      <c r="B391" s="327">
        <f>('Pivot Table for Data Exchange'!$R$330)*100</f>
        <v>0</v>
      </c>
      <c r="C391" s="327">
        <f>('Pivot Table for Data Exchange'!$R$333)*100</f>
        <v>0</v>
      </c>
      <c r="D391" s="328">
        <f t="shared" si="82"/>
        <v>0</v>
      </c>
      <c r="E391" s="327">
        <f>('Pivot Table for Data Exchange'!$R$336)*100</f>
        <v>0</v>
      </c>
      <c r="F391" s="327">
        <f>('Pivot Table for Data Exchange'!$R$339)*100</f>
        <v>0</v>
      </c>
      <c r="G391" s="335">
        <f>('Pivot Table for Data Exchange'!$R$342)*100</f>
        <v>0</v>
      </c>
      <c r="H391" s="327">
        <f>('Pivot Table for Data Exchange'!$R$345)*100</f>
        <v>0</v>
      </c>
      <c r="I391" s="298"/>
      <c r="J391" s="366"/>
      <c r="K391" s="366"/>
      <c r="L391" s="366"/>
      <c r="M391" s="366"/>
      <c r="N391" s="366"/>
      <c r="O391" s="366"/>
      <c r="P391" s="366"/>
      <c r="Q391" s="332">
        <f t="shared" si="74"/>
        <v>0</v>
      </c>
      <c r="R391" s="332"/>
      <c r="S391" s="333"/>
      <c r="T391" s="333"/>
      <c r="U391" s="333"/>
      <c r="V391" s="333"/>
      <c r="W391" s="333"/>
      <c r="X391" s="333"/>
      <c r="Y391" s="333"/>
      <c r="Z391" s="333"/>
      <c r="AA391" s="333"/>
      <c r="AB391" s="333"/>
      <c r="AC391" s="333"/>
      <c r="AD391" s="333"/>
      <c r="AE391" s="333"/>
      <c r="AF391" s="333"/>
      <c r="AG391" s="333"/>
      <c r="AH391" s="333"/>
      <c r="AI391" s="333"/>
      <c r="AJ391" s="333"/>
      <c r="AK391" s="333"/>
      <c r="AL391" s="333"/>
      <c r="AM391" s="333"/>
      <c r="AN391" s="333"/>
      <c r="AO391" s="333"/>
    </row>
    <row r="392" spans="1:41" ht="15.75" customHeight="1">
      <c r="A392" s="298" t="s">
        <v>835</v>
      </c>
      <c r="B392" s="327">
        <f>('Pivot Table for Data Exchange'!$R$366)*100</f>
        <v>0</v>
      </c>
      <c r="C392" s="327">
        <f>('Pivot Table for Data Exchange'!$R$369)*100</f>
        <v>0</v>
      </c>
      <c r="D392" s="328">
        <f t="shared" si="82"/>
        <v>0</v>
      </c>
      <c r="E392" s="327">
        <f>('Pivot Table for Data Exchange'!$R$372)*100</f>
        <v>0</v>
      </c>
      <c r="F392" s="327">
        <f>('Pivot Table for Data Exchange'!$R$375)*100</f>
        <v>0</v>
      </c>
      <c r="G392" s="335">
        <f>('Pivot Table for Data Exchange'!$R$378)*100</f>
        <v>0</v>
      </c>
      <c r="H392" s="327">
        <f>('Pivot Table for Data Exchange'!$R$381)*100</f>
        <v>0</v>
      </c>
      <c r="I392" s="298"/>
      <c r="J392" s="366"/>
      <c r="K392" s="366"/>
      <c r="L392" s="366"/>
      <c r="M392" s="366"/>
      <c r="N392" s="366"/>
      <c r="O392" s="366"/>
      <c r="P392" s="366"/>
      <c r="Q392" s="332">
        <f t="shared" si="74"/>
        <v>0</v>
      </c>
      <c r="R392" s="332"/>
      <c r="S392" s="333"/>
      <c r="T392" s="307"/>
      <c r="U392" s="333"/>
      <c r="V392" s="333"/>
      <c r="W392" s="333"/>
      <c r="X392" s="333"/>
      <c r="Y392" s="333"/>
      <c r="Z392" s="333"/>
      <c r="AA392" s="333"/>
      <c r="AB392" s="333"/>
      <c r="AC392" s="333"/>
      <c r="AD392" s="333"/>
      <c r="AE392" s="333"/>
      <c r="AF392" s="333"/>
      <c r="AG392" s="333"/>
      <c r="AH392" s="333"/>
      <c r="AI392" s="333"/>
      <c r="AJ392" s="333"/>
      <c r="AK392" s="333"/>
      <c r="AL392" s="333"/>
      <c r="AM392" s="333"/>
      <c r="AN392" s="333"/>
      <c r="AO392" s="333"/>
    </row>
    <row r="393" spans="1:41" ht="15.75" customHeight="1">
      <c r="A393" s="298" t="s">
        <v>836</v>
      </c>
      <c r="B393" s="327">
        <f>('Pivot Table for Data Exchange'!$R$402)*100</f>
        <v>0</v>
      </c>
      <c r="C393" s="327">
        <f>('Pivot Table for Data Exchange'!$R$405)*100</f>
        <v>0</v>
      </c>
      <c r="D393" s="328">
        <f>SUM(E393:G393)</f>
        <v>0</v>
      </c>
      <c r="E393" s="327">
        <f>('Pivot Table for Data Exchange'!$R$408)*100</f>
        <v>0</v>
      </c>
      <c r="F393" s="327">
        <f>('Pivot Table for Data Exchange'!$R$411)*100</f>
        <v>0</v>
      </c>
      <c r="G393" s="335">
        <f>('Pivot Table for Data Exchange'!$R$414)*100</f>
        <v>0</v>
      </c>
      <c r="H393" s="327">
        <f>('Pivot Table for Data Exchange'!$R$417)*100</f>
        <v>0</v>
      </c>
      <c r="I393" s="298"/>
      <c r="J393" s="366"/>
      <c r="K393" s="366"/>
      <c r="L393" s="366"/>
      <c r="M393" s="366"/>
      <c r="N393" s="366"/>
      <c r="O393" s="366"/>
      <c r="P393" s="366"/>
      <c r="Q393" s="332">
        <f t="shared" si="74"/>
        <v>0</v>
      </c>
      <c r="R393" s="332"/>
      <c r="S393" s="333"/>
      <c r="T393" s="333"/>
      <c r="U393" s="333"/>
      <c r="V393" s="333"/>
      <c r="W393" s="333"/>
      <c r="X393" s="333"/>
      <c r="Y393" s="333"/>
      <c r="Z393" s="333"/>
      <c r="AA393" s="333"/>
      <c r="AB393" s="333"/>
      <c r="AC393" s="333"/>
      <c r="AD393" s="333"/>
      <c r="AE393" s="333"/>
      <c r="AF393" s="333"/>
      <c r="AG393" s="333"/>
      <c r="AH393" s="333"/>
      <c r="AI393" s="333"/>
      <c r="AJ393" s="333"/>
      <c r="AK393" s="333"/>
      <c r="AL393" s="333"/>
      <c r="AM393" s="333"/>
      <c r="AN393" s="333"/>
      <c r="AO393" s="333"/>
    </row>
    <row r="394" spans="1:41" ht="15.75" customHeight="1">
      <c r="B394" s="327"/>
      <c r="C394" s="327"/>
      <c r="D394" s="328"/>
      <c r="E394" s="327"/>
      <c r="F394" s="327"/>
      <c r="G394" s="335"/>
      <c r="H394" s="327"/>
      <c r="I394" s="298"/>
      <c r="J394" s="366"/>
      <c r="K394" s="366"/>
      <c r="L394" s="366"/>
      <c r="M394" s="366"/>
      <c r="N394" s="366"/>
      <c r="O394" s="366"/>
      <c r="P394" s="366"/>
      <c r="Q394" s="332">
        <f t="shared" si="74"/>
        <v>0</v>
      </c>
      <c r="R394" s="332"/>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1:41" ht="15.75" customHeight="1">
      <c r="A395" s="298" t="s">
        <v>837</v>
      </c>
      <c r="B395" s="327">
        <f>('Pivot Table for Data Exchange'!$R$438)*100</f>
        <v>0</v>
      </c>
      <c r="C395" s="327">
        <f>('Pivot Table for Data Exchange'!$R$441)*100</f>
        <v>0</v>
      </c>
      <c r="D395" s="328">
        <f>SUM(E395:G395)</f>
        <v>0</v>
      </c>
      <c r="E395" s="327">
        <f>('Pivot Table for Data Exchange'!$R$444)*100</f>
        <v>0</v>
      </c>
      <c r="F395" s="327">
        <f>('Pivot Table for Data Exchange'!$R$447)*100</f>
        <v>0</v>
      </c>
      <c r="G395" s="335">
        <f>('Pivot Table for Data Exchange'!$R$450)*100</f>
        <v>0</v>
      </c>
      <c r="H395" s="327">
        <f>('Pivot Table for Data Exchange'!$R$453)*100</f>
        <v>0</v>
      </c>
      <c r="I395" s="298"/>
      <c r="J395" s="366"/>
      <c r="K395" s="366"/>
      <c r="L395" s="366"/>
      <c r="M395" s="366"/>
      <c r="N395" s="366"/>
      <c r="O395" s="366"/>
      <c r="P395" s="366"/>
      <c r="Q395" s="332">
        <f t="shared" si="74"/>
        <v>0</v>
      </c>
      <c r="R395" s="332"/>
      <c r="S395" s="333"/>
      <c r="T395" s="333"/>
      <c r="U395" s="333"/>
      <c r="V395" s="333"/>
      <c r="W395" s="333"/>
      <c r="X395" s="333"/>
      <c r="Y395" s="333"/>
      <c r="Z395" s="333"/>
      <c r="AA395" s="333"/>
      <c r="AB395" s="333"/>
      <c r="AC395" s="333"/>
      <c r="AD395" s="333"/>
      <c r="AE395" s="333"/>
      <c r="AF395" s="333"/>
      <c r="AG395" s="333"/>
      <c r="AH395" s="333"/>
      <c r="AI395" s="333"/>
      <c r="AJ395" s="333"/>
      <c r="AK395" s="333"/>
      <c r="AL395" s="333"/>
      <c r="AM395" s="333"/>
      <c r="AN395" s="333"/>
      <c r="AO395" s="333"/>
    </row>
    <row r="396" spans="1:41" ht="15.75" customHeight="1">
      <c r="A396" s="298" t="s">
        <v>838</v>
      </c>
      <c r="B396" s="327">
        <f>('Pivot Table for Data Exchange'!$R$474)*100</f>
        <v>0</v>
      </c>
      <c r="C396" s="327">
        <f>('Pivot Table for Data Exchange'!$R$477)*100</f>
        <v>0</v>
      </c>
      <c r="D396" s="328">
        <f>SUM(E396:G396)</f>
        <v>0</v>
      </c>
      <c r="E396" s="327">
        <f>('Pivot Table for Data Exchange'!$R$480)*100</f>
        <v>0</v>
      </c>
      <c r="F396" s="327">
        <f>('Pivot Table for Data Exchange'!$R$483)*100</f>
        <v>0</v>
      </c>
      <c r="G396" s="335">
        <f>('Pivot Table for Data Exchange'!$R$486)*100</f>
        <v>0</v>
      </c>
      <c r="H396" s="327">
        <f>('Pivot Table for Data Exchange'!$R$489)*100</f>
        <v>0</v>
      </c>
      <c r="I396" s="298"/>
      <c r="J396" s="366"/>
      <c r="K396" s="366"/>
      <c r="L396" s="366"/>
      <c r="M396" s="366"/>
      <c r="N396" s="366"/>
      <c r="O396" s="366"/>
      <c r="P396" s="366"/>
      <c r="Q396" s="332">
        <f t="shared" ref="Q396:Q457" si="83">SUM(B396,C396,D396,H396)</f>
        <v>0</v>
      </c>
      <c r="R396" s="332"/>
      <c r="S396" s="333"/>
      <c r="T396" s="333"/>
      <c r="U396" s="333"/>
      <c r="V396" s="333"/>
      <c r="W396" s="333"/>
      <c r="X396" s="333"/>
      <c r="Y396" s="333"/>
      <c r="Z396" s="333"/>
      <c r="AA396" s="333"/>
      <c r="AB396" s="333"/>
      <c r="AC396" s="333"/>
      <c r="AD396" s="333"/>
      <c r="AE396" s="333"/>
      <c r="AF396" s="333"/>
      <c r="AG396" s="333"/>
      <c r="AH396" s="333"/>
      <c r="AI396" s="333"/>
      <c r="AJ396" s="333"/>
      <c r="AK396" s="333"/>
      <c r="AL396" s="333"/>
      <c r="AM396" s="333"/>
      <c r="AN396" s="333"/>
      <c r="AO396" s="333"/>
    </row>
    <row r="397" spans="1:41" ht="15.75" customHeight="1">
      <c r="A397" s="298" t="s">
        <v>839</v>
      </c>
      <c r="B397" s="327">
        <f>('Pivot Table for Data Exchange'!$R$510)*100</f>
        <v>0</v>
      </c>
      <c r="C397" s="327">
        <f>('Pivot Table for Data Exchange'!$R$513)*100</f>
        <v>0</v>
      </c>
      <c r="D397" s="328">
        <f t="shared" ref="D397" si="84">SUM(E397:G397)</f>
        <v>0</v>
      </c>
      <c r="E397" s="327">
        <f>('Pivot Table for Data Exchange'!$R$516)*100</f>
        <v>0</v>
      </c>
      <c r="F397" s="327">
        <f>('Pivot Table for Data Exchange'!$R$519)*100</f>
        <v>0</v>
      </c>
      <c r="G397" s="335">
        <f>('Pivot Table for Data Exchange'!$R$522)*100</f>
        <v>0</v>
      </c>
      <c r="H397" s="327">
        <f>('Pivot Table for Data Exchange'!$R$525)*100</f>
        <v>0</v>
      </c>
      <c r="I397" s="298"/>
      <c r="J397" s="366"/>
      <c r="K397" s="366"/>
      <c r="L397" s="366"/>
      <c r="M397" s="366"/>
      <c r="N397" s="366"/>
      <c r="O397" s="366"/>
      <c r="P397" s="366"/>
      <c r="Q397" s="332">
        <f t="shared" si="83"/>
        <v>0</v>
      </c>
      <c r="R397" s="332"/>
      <c r="S397" s="333"/>
      <c r="T397" s="333"/>
      <c r="U397" s="333"/>
      <c r="V397" s="333"/>
      <c r="W397" s="333"/>
      <c r="X397" s="333"/>
      <c r="Y397" s="333"/>
      <c r="Z397" s="333"/>
      <c r="AA397" s="333"/>
      <c r="AB397" s="333"/>
      <c r="AC397" s="333"/>
      <c r="AD397" s="333"/>
      <c r="AE397" s="333"/>
      <c r="AF397" s="333"/>
      <c r="AG397" s="333"/>
      <c r="AH397" s="333"/>
      <c r="AI397" s="333"/>
      <c r="AJ397" s="333"/>
      <c r="AK397" s="333"/>
      <c r="AL397" s="333"/>
      <c r="AM397" s="333"/>
      <c r="AN397" s="333"/>
      <c r="AO397" s="333"/>
    </row>
    <row r="398" spans="1:41" ht="15.75" customHeight="1">
      <c r="A398" s="304" t="s">
        <v>840</v>
      </c>
      <c r="B398" s="340">
        <f>('Pivot Table for Data Exchange'!$R$546)*100</f>
        <v>0</v>
      </c>
      <c r="C398" s="340">
        <f>('Pivot Table for Data Exchange'!$R$549)*100</f>
        <v>0</v>
      </c>
      <c r="D398" s="341">
        <f>SUM(E398:G398)</f>
        <v>0</v>
      </c>
      <c r="E398" s="340">
        <f>('Pivot Table for Data Exchange'!$R$552)*100</f>
        <v>0</v>
      </c>
      <c r="F398" s="340">
        <f>('Pivot Table for Data Exchange'!$R$555)*100</f>
        <v>0</v>
      </c>
      <c r="G398" s="342">
        <f>('Pivot Table for Data Exchange'!$R$558)*100</f>
        <v>0</v>
      </c>
      <c r="H398" s="340">
        <f>('Pivot Table for Data Exchange'!$R$561)*100</f>
        <v>0</v>
      </c>
      <c r="I398" s="298"/>
      <c r="J398" s="366"/>
      <c r="K398" s="366"/>
      <c r="L398" s="366"/>
      <c r="M398" s="366"/>
      <c r="N398" s="366"/>
      <c r="O398" s="366"/>
      <c r="P398" s="366"/>
      <c r="Q398" s="332">
        <f t="shared" si="83"/>
        <v>0</v>
      </c>
      <c r="R398" s="332"/>
      <c r="S398" s="333"/>
      <c r="T398" s="333"/>
      <c r="U398" s="333"/>
      <c r="V398" s="333"/>
      <c r="W398" s="333"/>
      <c r="X398" s="333"/>
      <c r="Y398" s="333"/>
      <c r="Z398" s="333"/>
      <c r="AA398" s="333"/>
      <c r="AB398" s="333"/>
      <c r="AC398" s="333"/>
      <c r="AD398" s="333"/>
      <c r="AE398" s="333"/>
      <c r="AF398" s="333"/>
      <c r="AG398" s="333"/>
      <c r="AH398" s="333"/>
      <c r="AI398" s="333"/>
      <c r="AJ398" s="333"/>
      <c r="AK398" s="333"/>
      <c r="AL398" s="333"/>
      <c r="AM398" s="333"/>
      <c r="AN398" s="333"/>
      <c r="AO398" s="333"/>
    </row>
    <row r="399" spans="1:41" s="345" customFormat="1" ht="12" customHeight="1">
      <c r="A399" s="346" t="s">
        <v>866</v>
      </c>
      <c r="B399" s="347"/>
      <c r="C399" s="347"/>
      <c r="D399" s="348"/>
      <c r="E399" s="347"/>
      <c r="F399" s="348"/>
      <c r="G399" s="348"/>
      <c r="H399" s="347"/>
      <c r="I399" s="356"/>
      <c r="J399" s="347"/>
      <c r="K399" s="347"/>
      <c r="L399" s="348"/>
      <c r="M399" s="347"/>
      <c r="N399" s="348"/>
      <c r="O399" s="348"/>
      <c r="P399" s="347"/>
      <c r="Q399" s="332">
        <f t="shared" si="83"/>
        <v>0</v>
      </c>
      <c r="R399" s="367"/>
      <c r="S399" s="349"/>
      <c r="T399" s="349"/>
      <c r="U399" s="349"/>
      <c r="V399" s="349"/>
      <c r="W399" s="349"/>
      <c r="X399" s="349"/>
      <c r="Y399" s="349"/>
      <c r="Z399" s="349"/>
      <c r="AA399" s="349"/>
      <c r="AB399" s="349"/>
      <c r="AC399" s="349"/>
      <c r="AD399" s="349"/>
      <c r="AE399" s="349"/>
      <c r="AF399" s="349"/>
      <c r="AG399" s="349"/>
      <c r="AH399" s="349"/>
      <c r="AI399" s="349"/>
      <c r="AJ399" s="349"/>
      <c r="AK399" s="349"/>
      <c r="AL399" s="349"/>
      <c r="AM399" s="349"/>
      <c r="AN399" s="349"/>
      <c r="AO399" s="349"/>
    </row>
    <row r="400" spans="1:41" s="345" customFormat="1" ht="13.5" customHeight="1">
      <c r="A400" s="356"/>
      <c r="B400" s="347"/>
      <c r="C400" s="347"/>
      <c r="D400" s="348"/>
      <c r="E400" s="347"/>
      <c r="F400" s="348"/>
      <c r="G400" s="348"/>
      <c r="H400" s="347"/>
      <c r="I400" s="356"/>
      <c r="J400" s="347"/>
      <c r="K400" s="347"/>
      <c r="L400" s="348"/>
      <c r="M400" s="347"/>
      <c r="N400" s="348"/>
      <c r="O400" s="348"/>
      <c r="P400" s="347"/>
      <c r="Q400" s="332">
        <f t="shared" si="83"/>
        <v>0</v>
      </c>
      <c r="R400" s="367"/>
      <c r="S400" s="349"/>
      <c r="T400" s="349"/>
      <c r="U400" s="349"/>
      <c r="V400" s="349"/>
      <c r="W400" s="349"/>
      <c r="X400" s="349"/>
      <c r="Y400" s="349"/>
      <c r="Z400" s="349"/>
      <c r="AA400" s="349"/>
      <c r="AB400" s="349"/>
      <c r="AC400" s="349"/>
      <c r="AD400" s="349"/>
      <c r="AE400" s="349"/>
      <c r="AF400" s="349"/>
      <c r="AG400" s="349"/>
      <c r="AH400" s="349"/>
      <c r="AI400" s="349"/>
      <c r="AJ400" s="349"/>
      <c r="AK400" s="349"/>
      <c r="AL400" s="349"/>
      <c r="AM400" s="349"/>
      <c r="AN400" s="349"/>
      <c r="AO400" s="349"/>
    </row>
    <row r="401" spans="1:41" ht="15.75" customHeight="1">
      <c r="B401" s="369"/>
      <c r="C401" s="369"/>
      <c r="D401" s="369"/>
      <c r="E401" s="369"/>
      <c r="F401" s="369"/>
      <c r="G401" s="369"/>
      <c r="H401" s="351" t="s">
        <v>980</v>
      </c>
      <c r="I401" s="298"/>
      <c r="J401" s="366"/>
      <c r="K401" s="366"/>
      <c r="L401" s="366"/>
      <c r="M401" s="366"/>
      <c r="N401" s="366"/>
      <c r="O401" s="366"/>
      <c r="P401" s="366"/>
      <c r="Q401" s="332">
        <f t="shared" si="83"/>
        <v>0</v>
      </c>
      <c r="R401" s="332"/>
      <c r="S401" s="333"/>
      <c r="T401" s="333"/>
      <c r="U401" s="333"/>
      <c r="V401" s="333"/>
      <c r="W401" s="333"/>
      <c r="X401" s="333"/>
      <c r="Y401" s="333"/>
      <c r="Z401" s="333"/>
      <c r="AA401" s="333"/>
      <c r="AB401" s="333"/>
      <c r="AC401" s="333"/>
      <c r="AD401" s="333"/>
      <c r="AE401" s="333"/>
      <c r="AF401" s="333"/>
      <c r="AG401" s="333"/>
      <c r="AH401" s="333"/>
      <c r="AI401" s="333"/>
      <c r="AJ401" s="333"/>
      <c r="AK401" s="333"/>
      <c r="AL401" s="333"/>
      <c r="AM401" s="333"/>
      <c r="AN401" s="333"/>
      <c r="AO401" s="333"/>
    </row>
    <row r="402" spans="1:41" ht="18">
      <c r="A402" s="293" t="s">
        <v>888</v>
      </c>
      <c r="B402" s="294"/>
      <c r="C402" s="294"/>
      <c r="D402" s="294"/>
      <c r="E402" s="294"/>
      <c r="F402" s="294"/>
      <c r="G402" s="294"/>
      <c r="H402" s="294"/>
      <c r="Q402" s="332">
        <f t="shared" si="83"/>
        <v>0</v>
      </c>
    </row>
    <row r="403" spans="1:41">
      <c r="A403" s="299"/>
      <c r="B403" s="295"/>
      <c r="C403" s="295"/>
      <c r="D403" s="295"/>
      <c r="E403" s="295"/>
      <c r="F403" s="295"/>
      <c r="G403" s="295"/>
      <c r="H403" s="295"/>
      <c r="Q403" s="332">
        <f t="shared" si="83"/>
        <v>0</v>
      </c>
    </row>
    <row r="404" spans="1:41" ht="15.75">
      <c r="A404" s="301" t="s">
        <v>846</v>
      </c>
      <c r="B404" s="295"/>
      <c r="C404" s="295"/>
      <c r="D404" s="295"/>
      <c r="E404" s="295"/>
      <c r="F404" s="295"/>
      <c r="G404" s="295"/>
      <c r="H404" s="295"/>
      <c r="Q404" s="332">
        <f t="shared" si="83"/>
        <v>0</v>
      </c>
    </row>
    <row r="405" spans="1:41" ht="15.75">
      <c r="A405" s="301" t="s">
        <v>904</v>
      </c>
      <c r="B405" s="295"/>
      <c r="C405" s="295"/>
      <c r="D405" s="295"/>
      <c r="E405" s="295"/>
      <c r="F405" s="295"/>
      <c r="G405" s="295"/>
      <c r="H405" s="295"/>
      <c r="Q405" s="332">
        <f t="shared" si="83"/>
        <v>0</v>
      </c>
    </row>
    <row r="406" spans="1:41">
      <c r="A406" s="304"/>
      <c r="B406" s="305"/>
      <c r="C406" s="305"/>
      <c r="D406" s="305"/>
      <c r="E406" s="305"/>
      <c r="F406" s="305"/>
      <c r="G406" s="305"/>
      <c r="H406" s="305"/>
      <c r="Q406" s="332">
        <f t="shared" si="83"/>
        <v>0</v>
      </c>
    </row>
    <row r="407" spans="1:41">
      <c r="A407" s="309"/>
      <c r="B407" s="310" t="s">
        <v>848</v>
      </c>
      <c r="C407" s="310"/>
      <c r="D407" s="310"/>
      <c r="E407" s="310"/>
      <c r="F407" s="310"/>
      <c r="G407" s="310"/>
      <c r="H407" s="311"/>
      <c r="Q407" s="332">
        <f t="shared" si="83"/>
        <v>0</v>
      </c>
    </row>
    <row r="408" spans="1:41">
      <c r="A408" s="309"/>
      <c r="B408" s="310" t="s">
        <v>849</v>
      </c>
      <c r="C408" s="310"/>
      <c r="D408" s="450" t="s">
        <v>850</v>
      </c>
      <c r="E408" s="448"/>
      <c r="F408" s="448"/>
      <c r="G408" s="448"/>
      <c r="H408" s="317" t="s">
        <v>740</v>
      </c>
      <c r="Q408" s="332">
        <f t="shared" si="83"/>
        <v>0</v>
      </c>
    </row>
    <row r="409" spans="1:41" ht="36">
      <c r="A409" s="309"/>
      <c r="B409" s="318" t="s">
        <v>851</v>
      </c>
      <c r="C409" s="319" t="s">
        <v>852</v>
      </c>
      <c r="D409" s="320" t="s">
        <v>853</v>
      </c>
      <c r="E409" s="321" t="s">
        <v>8</v>
      </c>
      <c r="F409" s="318" t="s">
        <v>854</v>
      </c>
      <c r="G409" s="322" t="s">
        <v>864</v>
      </c>
      <c r="H409" s="323" t="s">
        <v>856</v>
      </c>
      <c r="Q409" s="332">
        <f t="shared" si="83"/>
        <v>0</v>
      </c>
    </row>
    <row r="410" spans="1:41" ht="15.75" customHeight="1">
      <c r="A410" s="353" t="s">
        <v>825</v>
      </c>
      <c r="B410" s="327">
        <f>('Pivot Table for Data Exchange'!$P$6)*100</f>
        <v>87.033218216601654</v>
      </c>
      <c r="C410" s="327">
        <f>('Pivot Table for Data Exchange'!$P$9)*100</f>
        <v>4.7230987105269699</v>
      </c>
      <c r="D410" s="328">
        <f>SUM(E410:G410)</f>
        <v>8.2436830728713755</v>
      </c>
      <c r="E410" s="327">
        <f>('Pivot Table for Data Exchange'!$P$12)*100</f>
        <v>8.2436830728713755</v>
      </c>
      <c r="F410" s="327">
        <f>('Pivot Table for Data Exchange'!$P$15)*100</f>
        <v>0</v>
      </c>
      <c r="G410" s="331">
        <f>('Pivot Table for Data Exchange'!$P$18)*100</f>
        <v>0</v>
      </c>
      <c r="H410" s="327">
        <f>('Pivot Table for Data Exchange'!$P$21)*100</f>
        <v>0</v>
      </c>
      <c r="I410" s="298"/>
      <c r="J410" s="366"/>
      <c r="K410" s="366"/>
      <c r="L410" s="366"/>
      <c r="M410" s="366"/>
      <c r="N410" s="366"/>
      <c r="O410" s="366"/>
      <c r="P410" s="366"/>
      <c r="Q410" s="332">
        <f t="shared" si="83"/>
        <v>100</v>
      </c>
      <c r="R410" s="332"/>
      <c r="S410" s="333"/>
      <c r="T410" s="333"/>
      <c r="U410" s="333"/>
      <c r="V410" s="333"/>
      <c r="W410" s="333"/>
      <c r="X410" s="333"/>
      <c r="Y410" s="333"/>
      <c r="Z410" s="333"/>
      <c r="AA410" s="333"/>
      <c r="AB410" s="333"/>
      <c r="AC410" s="333"/>
      <c r="AD410" s="333"/>
      <c r="AE410" s="333"/>
      <c r="AF410" s="333"/>
      <c r="AG410" s="333"/>
      <c r="AH410" s="333"/>
      <c r="AI410" s="333"/>
      <c r="AJ410" s="333"/>
      <c r="AK410" s="333"/>
      <c r="AL410" s="333"/>
      <c r="AM410" s="333"/>
      <c r="AN410" s="333"/>
      <c r="AO410" s="333"/>
    </row>
    <row r="411" spans="1:41" ht="15.75" customHeight="1">
      <c r="A411" s="298" t="s">
        <v>826</v>
      </c>
      <c r="B411" s="327">
        <f>('Pivot Table for Data Exchange'!$P$42)*100</f>
        <v>0</v>
      </c>
      <c r="C411" s="327">
        <f>('Pivot Table for Data Exchange'!$P$45)*100</f>
        <v>0</v>
      </c>
      <c r="D411" s="328">
        <f t="shared" ref="D411:D413" si="85">SUM(E411:G411)</f>
        <v>0</v>
      </c>
      <c r="E411" s="327">
        <f>('Pivot Table for Data Exchange'!$P$48)*100</f>
        <v>0</v>
      </c>
      <c r="F411" s="327">
        <f>('Pivot Table for Data Exchange'!$P$51)*100</f>
        <v>0</v>
      </c>
      <c r="G411" s="335">
        <f>('Pivot Table for Data Exchange'!$P$54)*100</f>
        <v>0</v>
      </c>
      <c r="H411" s="327">
        <f>('Pivot Table for Data Exchange'!$P$57)*100</f>
        <v>0</v>
      </c>
      <c r="I411" s="298"/>
      <c r="J411" s="366"/>
      <c r="K411" s="366"/>
      <c r="L411" s="366"/>
      <c r="M411" s="366"/>
      <c r="N411" s="366"/>
      <c r="O411" s="366"/>
      <c r="P411" s="366"/>
      <c r="Q411" s="332">
        <f t="shared" si="83"/>
        <v>0</v>
      </c>
      <c r="R411" s="332"/>
      <c r="S411" s="333"/>
      <c r="T411" s="333"/>
      <c r="U411" s="333"/>
      <c r="V411" s="333"/>
      <c r="W411" s="333"/>
      <c r="X411" s="333"/>
      <c r="Y411" s="333"/>
      <c r="Z411" s="333"/>
      <c r="AA411" s="333"/>
      <c r="AB411" s="333"/>
      <c r="AC411" s="333"/>
      <c r="AD411" s="333"/>
      <c r="AE411" s="333"/>
      <c r="AF411" s="333"/>
      <c r="AG411" s="333"/>
      <c r="AH411" s="333"/>
      <c r="AI411" s="333"/>
      <c r="AJ411" s="333"/>
      <c r="AK411" s="333"/>
      <c r="AL411" s="333"/>
      <c r="AM411" s="333"/>
      <c r="AN411" s="333"/>
      <c r="AO411" s="333"/>
    </row>
    <row r="412" spans="1:41" ht="15.75" customHeight="1">
      <c r="A412" s="298" t="s">
        <v>827</v>
      </c>
      <c r="B412" s="327">
        <f>('Pivot Table for Data Exchange'!$P$78)*100</f>
        <v>0</v>
      </c>
      <c r="C412" s="327">
        <f>('Pivot Table for Data Exchange'!$P$81)*100</f>
        <v>0</v>
      </c>
      <c r="D412" s="328">
        <f t="shared" si="85"/>
        <v>0</v>
      </c>
      <c r="E412" s="327">
        <f>('Pivot Table for Data Exchange'!$P$84)*100</f>
        <v>0</v>
      </c>
      <c r="F412" s="327">
        <f>('Pivot Table for Data Exchange'!$P$87)*100</f>
        <v>0</v>
      </c>
      <c r="G412" s="335">
        <f>('Pivot Table for Data Exchange'!$P$90)*100</f>
        <v>0</v>
      </c>
      <c r="H412" s="327">
        <f>('Pivot Table for Data Exchange'!$P$93)*100</f>
        <v>0</v>
      </c>
      <c r="I412" s="298"/>
      <c r="J412" s="366"/>
      <c r="K412" s="366"/>
      <c r="L412" s="366"/>
      <c r="M412" s="366"/>
      <c r="N412" s="366"/>
      <c r="O412" s="366"/>
      <c r="P412" s="366"/>
      <c r="Q412" s="332">
        <f t="shared" si="83"/>
        <v>0</v>
      </c>
      <c r="R412" s="332"/>
      <c r="S412" s="333"/>
      <c r="T412" s="307"/>
      <c r="U412" s="333"/>
      <c r="V412" s="333"/>
      <c r="W412" s="333"/>
      <c r="X412" s="333"/>
      <c r="Y412" s="333"/>
      <c r="Z412" s="333"/>
      <c r="AA412" s="333"/>
      <c r="AB412" s="333"/>
      <c r="AC412" s="333"/>
      <c r="AD412" s="333"/>
      <c r="AE412" s="333"/>
      <c r="AF412" s="333"/>
      <c r="AG412" s="333"/>
      <c r="AH412" s="333"/>
      <c r="AI412" s="333"/>
      <c r="AJ412" s="333"/>
      <c r="AK412" s="333"/>
      <c r="AL412" s="333"/>
      <c r="AM412" s="333"/>
      <c r="AN412" s="333"/>
      <c r="AO412" s="333"/>
    </row>
    <row r="413" spans="1:41" ht="15.75" customHeight="1">
      <c r="A413" s="298" t="s">
        <v>828</v>
      </c>
      <c r="B413" s="327">
        <f>('Pivot Table for Data Exchange'!$P$114)*100</f>
        <v>0</v>
      </c>
      <c r="C413" s="327">
        <f>('Pivot Table for Data Exchange'!$P$117)*100</f>
        <v>0</v>
      </c>
      <c r="D413" s="328">
        <f t="shared" si="85"/>
        <v>0</v>
      </c>
      <c r="E413" s="327">
        <f>('Pivot Table for Data Exchange'!$P$120)*100</f>
        <v>0</v>
      </c>
      <c r="F413" s="327">
        <f>('Pivot Table for Data Exchange'!$P$123)*100</f>
        <v>0</v>
      </c>
      <c r="G413" s="335">
        <f>('Pivot Table for Data Exchange'!$P$126)*100</f>
        <v>0</v>
      </c>
      <c r="H413" s="327">
        <f>('Pivot Table for Data Exchange'!$P$129)*100</f>
        <v>0</v>
      </c>
      <c r="I413" s="298"/>
      <c r="J413" s="366"/>
      <c r="K413" s="366"/>
      <c r="L413" s="366"/>
      <c r="M413" s="366"/>
      <c r="N413" s="366"/>
      <c r="O413" s="366"/>
      <c r="P413" s="366"/>
      <c r="Q413" s="332">
        <f t="shared" si="83"/>
        <v>0</v>
      </c>
      <c r="R413" s="332"/>
      <c r="S413" s="333"/>
      <c r="U413" s="333"/>
      <c r="V413" s="333"/>
      <c r="W413" s="333"/>
      <c r="X413" s="333"/>
      <c r="Y413" s="333"/>
      <c r="Z413" s="333"/>
      <c r="AA413" s="333"/>
      <c r="AB413" s="333"/>
      <c r="AC413" s="333"/>
      <c r="AD413" s="333"/>
      <c r="AE413" s="333"/>
      <c r="AF413" s="333"/>
      <c r="AG413" s="333"/>
      <c r="AH413" s="333"/>
      <c r="AI413" s="333"/>
      <c r="AJ413" s="333"/>
      <c r="AK413" s="333"/>
      <c r="AL413" s="333"/>
      <c r="AM413" s="333"/>
      <c r="AN413" s="333"/>
      <c r="AO413" s="333"/>
    </row>
    <row r="414" spans="1:41" ht="15.75" customHeight="1">
      <c r="B414" s="327"/>
      <c r="C414" s="327"/>
      <c r="D414" s="328"/>
      <c r="E414" s="327"/>
      <c r="F414" s="327"/>
      <c r="G414" s="335"/>
      <c r="H414" s="327"/>
      <c r="I414" s="298"/>
      <c r="J414" s="366"/>
      <c r="K414" s="366"/>
      <c r="L414" s="366"/>
      <c r="M414" s="366"/>
      <c r="N414" s="366"/>
      <c r="O414" s="366"/>
      <c r="P414" s="366"/>
      <c r="Q414" s="332">
        <f t="shared" si="83"/>
        <v>0</v>
      </c>
      <c r="R414" s="332"/>
      <c r="S414" s="333"/>
      <c r="U414" s="333"/>
      <c r="V414" s="333"/>
      <c r="W414" s="333"/>
      <c r="X414" s="333"/>
      <c r="Y414" s="333"/>
      <c r="Z414" s="333"/>
      <c r="AA414" s="333"/>
      <c r="AB414" s="333"/>
      <c r="AC414" s="333"/>
      <c r="AD414" s="333"/>
      <c r="AE414" s="333"/>
      <c r="AF414" s="333"/>
      <c r="AG414" s="333"/>
      <c r="AH414" s="333"/>
      <c r="AI414" s="333"/>
      <c r="AJ414" s="333"/>
      <c r="AK414" s="333"/>
      <c r="AL414" s="333"/>
      <c r="AM414" s="333"/>
      <c r="AN414" s="333"/>
      <c r="AO414" s="333"/>
    </row>
    <row r="415" spans="1:41" ht="15.75" customHeight="1">
      <c r="A415" s="298" t="s">
        <v>829</v>
      </c>
      <c r="B415" s="327">
        <f>('Pivot Table for Data Exchange'!$P$150)*100</f>
        <v>66.080643318978389</v>
      </c>
      <c r="C415" s="327">
        <f>('Pivot Table for Data Exchange'!$P$153)*100</f>
        <v>0</v>
      </c>
      <c r="D415" s="328">
        <f t="shared" ref="D415:D418" si="86">SUM(E415:G415)</f>
        <v>33.919356681021604</v>
      </c>
      <c r="E415" s="327">
        <f>('Pivot Table for Data Exchange'!$P$156)*100</f>
        <v>33.335520006753896</v>
      </c>
      <c r="F415" s="327">
        <f>('Pivot Table for Data Exchange'!$P$159)*100</f>
        <v>0.58383667426770758</v>
      </c>
      <c r="G415" s="335">
        <f>('Pivot Table for Data Exchange'!$P$162)*100</f>
        <v>0</v>
      </c>
      <c r="H415" s="327">
        <f>('Pivot Table for Data Exchange'!$P$165)*100</f>
        <v>0</v>
      </c>
      <c r="I415" s="298"/>
      <c r="J415" s="366"/>
      <c r="K415" s="366"/>
      <c r="L415" s="366"/>
      <c r="M415" s="366"/>
      <c r="N415" s="366"/>
      <c r="O415" s="366"/>
      <c r="P415" s="366"/>
      <c r="Q415" s="332">
        <f t="shared" si="83"/>
        <v>100</v>
      </c>
      <c r="R415" s="332"/>
      <c r="S415" s="333"/>
      <c r="T415" s="333"/>
      <c r="U415" s="333"/>
      <c r="V415" s="333"/>
      <c r="W415" s="333"/>
      <c r="X415" s="333"/>
      <c r="Y415" s="333"/>
      <c r="Z415" s="333"/>
      <c r="AA415" s="333"/>
      <c r="AB415" s="333"/>
      <c r="AC415" s="333"/>
      <c r="AD415" s="333"/>
      <c r="AE415" s="333"/>
      <c r="AF415" s="333"/>
      <c r="AG415" s="333"/>
      <c r="AH415" s="333"/>
      <c r="AI415" s="333"/>
      <c r="AJ415" s="333"/>
      <c r="AK415" s="333"/>
      <c r="AL415" s="333"/>
      <c r="AM415" s="333"/>
      <c r="AN415" s="333"/>
      <c r="AO415" s="333"/>
    </row>
    <row r="416" spans="1:41" ht="15.75" customHeight="1">
      <c r="A416" s="298" t="s">
        <v>830</v>
      </c>
      <c r="B416" s="327">
        <f>('Pivot Table for Data Exchange'!$P$186)*100</f>
        <v>63.034016451519307</v>
      </c>
      <c r="C416" s="327">
        <f>('Pivot Table for Data Exchange'!$P$189)*100</f>
        <v>5.3275120957130229</v>
      </c>
      <c r="D416" s="328">
        <f t="shared" si="86"/>
        <v>31.638471452767675</v>
      </c>
      <c r="E416" s="327">
        <f>('Pivot Table for Data Exchange'!$P$192)*100</f>
        <v>31.638471452767675</v>
      </c>
      <c r="F416" s="327">
        <f>('Pivot Table for Data Exchange'!$P$195)*100</f>
        <v>0</v>
      </c>
      <c r="G416" s="335">
        <f>('Pivot Table for Data Exchange'!$P$198)*100</f>
        <v>0</v>
      </c>
      <c r="H416" s="327">
        <f>('Pivot Table for Data Exchange'!$P$201)*100</f>
        <v>0</v>
      </c>
      <c r="I416" s="298"/>
      <c r="J416" s="366"/>
      <c r="K416" s="366"/>
      <c r="L416" s="366"/>
      <c r="M416" s="366"/>
      <c r="N416" s="366"/>
      <c r="O416" s="366"/>
      <c r="P416" s="366"/>
      <c r="Q416" s="332">
        <f t="shared" si="83"/>
        <v>100</v>
      </c>
      <c r="R416" s="332"/>
      <c r="S416" s="333"/>
      <c r="T416" s="333"/>
      <c r="U416" s="333"/>
      <c r="V416" s="333"/>
      <c r="W416" s="333"/>
      <c r="X416" s="333"/>
      <c r="Y416" s="333"/>
      <c r="Z416" s="333"/>
      <c r="AA416" s="333"/>
      <c r="AB416" s="333"/>
      <c r="AC416" s="333"/>
      <c r="AD416" s="333"/>
      <c r="AE416" s="333"/>
      <c r="AF416" s="333"/>
      <c r="AG416" s="333"/>
      <c r="AH416" s="333"/>
      <c r="AI416" s="333"/>
      <c r="AJ416" s="333"/>
      <c r="AK416" s="333"/>
      <c r="AL416" s="333"/>
      <c r="AM416" s="333"/>
      <c r="AN416" s="333"/>
      <c r="AO416" s="333"/>
    </row>
    <row r="417" spans="1:41" ht="15.75" customHeight="1">
      <c r="A417" s="298" t="s">
        <v>831</v>
      </c>
      <c r="B417" s="327">
        <f>('Pivot Table for Data Exchange'!$P$222)*100</f>
        <v>85.049681222156266</v>
      </c>
      <c r="C417" s="327">
        <f>('Pivot Table for Data Exchange'!$P$225)*100</f>
        <v>0</v>
      </c>
      <c r="D417" s="328">
        <f t="shared" si="86"/>
        <v>14.950318777843735</v>
      </c>
      <c r="E417" s="327">
        <f>('Pivot Table for Data Exchange'!$P$228)*100</f>
        <v>14.950318777843735</v>
      </c>
      <c r="F417" s="327">
        <f>('Pivot Table for Data Exchange'!$P$231)*100</f>
        <v>0</v>
      </c>
      <c r="G417" s="335">
        <f>('Pivot Table for Data Exchange'!$P$234)*100</f>
        <v>0</v>
      </c>
      <c r="H417" s="327">
        <f>('Pivot Table for Data Exchange'!$P$237)*100</f>
        <v>0</v>
      </c>
      <c r="I417" s="373"/>
      <c r="J417" s="366"/>
      <c r="K417" s="366"/>
      <c r="L417" s="366"/>
      <c r="M417" s="366"/>
      <c r="N417" s="366"/>
      <c r="O417" s="366"/>
      <c r="P417" s="366"/>
      <c r="Q417" s="332">
        <f>SUM(I417,C417,D417,H417)</f>
        <v>14.950318777843735</v>
      </c>
      <c r="R417" s="332"/>
      <c r="S417" s="333"/>
      <c r="T417" s="307"/>
      <c r="U417" s="333"/>
      <c r="V417" s="333"/>
      <c r="W417" s="333"/>
      <c r="X417" s="333"/>
      <c r="Y417" s="333"/>
      <c r="Z417" s="333"/>
      <c r="AA417" s="333"/>
      <c r="AB417" s="333"/>
      <c r="AC417" s="333"/>
      <c r="AD417" s="333"/>
      <c r="AE417" s="333"/>
      <c r="AF417" s="333"/>
      <c r="AG417" s="333"/>
      <c r="AH417" s="333"/>
      <c r="AI417" s="333"/>
      <c r="AJ417" s="333"/>
      <c r="AK417" s="333"/>
      <c r="AL417" s="333"/>
      <c r="AM417" s="333"/>
      <c r="AN417" s="333"/>
      <c r="AO417" s="333"/>
    </row>
    <row r="418" spans="1:41" ht="15.75" customHeight="1">
      <c r="A418" s="298" t="s">
        <v>832</v>
      </c>
      <c r="B418" s="327">
        <f>('Pivot Table for Data Exchange'!$P$258)*100</f>
        <v>0</v>
      </c>
      <c r="C418" s="327">
        <f>('Pivot Table for Data Exchange'!$P$261)*100</f>
        <v>0</v>
      </c>
      <c r="D418" s="328">
        <f t="shared" si="86"/>
        <v>0</v>
      </c>
      <c r="E418" s="327">
        <f>('Pivot Table for Data Exchange'!$P$264)*100</f>
        <v>0</v>
      </c>
      <c r="F418" s="327">
        <f>('Pivot Table for Data Exchange'!$P$267)*100</f>
        <v>0</v>
      </c>
      <c r="G418" s="335">
        <f>('Pivot Table for Data Exchange'!$P$270)*100</f>
        <v>0</v>
      </c>
      <c r="H418" s="327">
        <f>('Pivot Table for Data Exchange'!$P$273)*100</f>
        <v>0</v>
      </c>
      <c r="I418" s="298"/>
      <c r="J418" s="366"/>
      <c r="K418" s="366"/>
      <c r="L418" s="366"/>
      <c r="M418" s="366"/>
      <c r="N418" s="366"/>
      <c r="O418" s="366"/>
      <c r="P418" s="366"/>
      <c r="Q418" s="332">
        <f t="shared" si="83"/>
        <v>0</v>
      </c>
      <c r="R418" s="332"/>
      <c r="S418" s="333"/>
      <c r="U418" s="333"/>
      <c r="V418" s="333"/>
      <c r="W418" s="333"/>
      <c r="X418" s="333"/>
      <c r="Y418" s="333"/>
      <c r="Z418" s="333"/>
      <c r="AA418" s="333"/>
      <c r="AB418" s="333"/>
      <c r="AC418" s="333"/>
      <c r="AD418" s="333"/>
      <c r="AE418" s="333"/>
      <c r="AF418" s="333"/>
      <c r="AG418" s="333"/>
      <c r="AH418" s="333"/>
      <c r="AI418" s="333"/>
      <c r="AJ418" s="333"/>
      <c r="AK418" s="333"/>
      <c r="AL418" s="333"/>
      <c r="AM418" s="333"/>
      <c r="AN418" s="333"/>
      <c r="AO418" s="333"/>
    </row>
    <row r="419" spans="1:41" ht="15.75" customHeight="1">
      <c r="B419" s="327"/>
      <c r="C419" s="327"/>
      <c r="D419" s="328"/>
      <c r="E419" s="327"/>
      <c r="F419" s="327"/>
      <c r="G419" s="335"/>
      <c r="H419" s="327"/>
      <c r="I419" s="298"/>
      <c r="J419" s="366"/>
      <c r="K419" s="366"/>
      <c r="L419" s="366"/>
      <c r="M419" s="366"/>
      <c r="N419" s="366"/>
      <c r="O419" s="366"/>
      <c r="P419" s="366"/>
      <c r="Q419" s="332">
        <f t="shared" si="83"/>
        <v>0</v>
      </c>
      <c r="R419" s="332"/>
      <c r="S419" s="333"/>
      <c r="U419" s="333"/>
      <c r="V419" s="333"/>
      <c r="W419" s="333"/>
      <c r="X419" s="333"/>
      <c r="Y419" s="333"/>
      <c r="Z419" s="333"/>
      <c r="AA419" s="333"/>
      <c r="AB419" s="333"/>
      <c r="AC419" s="333"/>
      <c r="AD419" s="333"/>
      <c r="AE419" s="333"/>
      <c r="AF419" s="333"/>
      <c r="AG419" s="333"/>
      <c r="AH419" s="333"/>
      <c r="AI419" s="333"/>
      <c r="AJ419" s="333"/>
      <c r="AK419" s="333"/>
      <c r="AL419" s="333"/>
      <c r="AM419" s="333"/>
      <c r="AN419" s="333"/>
      <c r="AO419" s="333"/>
    </row>
    <row r="420" spans="1:41" ht="15.75" customHeight="1">
      <c r="A420" s="298" t="s">
        <v>833</v>
      </c>
      <c r="B420" s="327">
        <f>('Pivot Table for Data Exchange'!$P$294)*100</f>
        <v>0</v>
      </c>
      <c r="C420" s="327">
        <f>('Pivot Table for Data Exchange'!$P$297)*100</f>
        <v>0</v>
      </c>
      <c r="D420" s="328">
        <f t="shared" ref="D420:D422" si="87">SUM(E420:G420)</f>
        <v>0</v>
      </c>
      <c r="E420" s="327">
        <f>('Pivot Table for Data Exchange'!$P$300)*100</f>
        <v>0</v>
      </c>
      <c r="F420" s="327">
        <f>('Pivot Table for Data Exchange'!$P$303)*100</f>
        <v>0</v>
      </c>
      <c r="G420" s="335">
        <f>('Pivot Table for Data Exchange'!$P$306)*100</f>
        <v>0</v>
      </c>
      <c r="H420" s="327">
        <f>('Pivot Table for Data Exchange'!$P$309)*100</f>
        <v>0</v>
      </c>
      <c r="I420" s="298"/>
      <c r="J420" s="366"/>
      <c r="K420" s="366"/>
      <c r="L420" s="366"/>
      <c r="M420" s="366"/>
      <c r="N420" s="366"/>
      <c r="O420" s="366"/>
      <c r="P420" s="366"/>
      <c r="Q420" s="332">
        <f t="shared" si="83"/>
        <v>0</v>
      </c>
      <c r="R420" s="332"/>
      <c r="S420" s="333"/>
      <c r="T420" s="333"/>
      <c r="U420" s="333"/>
      <c r="V420" s="333"/>
      <c r="W420" s="333"/>
      <c r="X420" s="333"/>
      <c r="Y420" s="333"/>
      <c r="Z420" s="333"/>
      <c r="AA420" s="333"/>
      <c r="AB420" s="333"/>
      <c r="AC420" s="333"/>
      <c r="AD420" s="333"/>
      <c r="AE420" s="333"/>
      <c r="AF420" s="333"/>
      <c r="AG420" s="333"/>
      <c r="AH420" s="333"/>
      <c r="AI420" s="333"/>
      <c r="AJ420" s="333"/>
      <c r="AK420" s="333"/>
      <c r="AL420" s="333"/>
      <c r="AM420" s="333"/>
      <c r="AN420" s="333"/>
      <c r="AO420" s="333"/>
    </row>
    <row r="421" spans="1:41" ht="15.75" customHeight="1">
      <c r="A421" s="298" t="s">
        <v>834</v>
      </c>
      <c r="B421" s="327">
        <f>('Pivot Table for Data Exchange'!$P$330)*100</f>
        <v>0</v>
      </c>
      <c r="C421" s="327">
        <f>('Pivot Table for Data Exchange'!$P$333)*100</f>
        <v>0</v>
      </c>
      <c r="D421" s="328">
        <f t="shared" si="87"/>
        <v>0</v>
      </c>
      <c r="E421" s="327">
        <f>('Pivot Table for Data Exchange'!$P$336)*100</f>
        <v>0</v>
      </c>
      <c r="F421" s="327">
        <f>('Pivot Table for Data Exchange'!$P$339)*100</f>
        <v>0</v>
      </c>
      <c r="G421" s="335">
        <f>('Pivot Table for Data Exchange'!$P$342)*100</f>
        <v>0</v>
      </c>
      <c r="H421" s="327">
        <f>('Pivot Table for Data Exchange'!$P$345)*100</f>
        <v>0</v>
      </c>
      <c r="I421" s="298"/>
      <c r="J421" s="366"/>
      <c r="K421" s="366"/>
      <c r="L421" s="366"/>
      <c r="M421" s="366"/>
      <c r="N421" s="366"/>
      <c r="O421" s="366"/>
      <c r="P421" s="366"/>
      <c r="Q421" s="332">
        <f t="shared" si="83"/>
        <v>0</v>
      </c>
      <c r="R421" s="332"/>
      <c r="S421" s="333"/>
      <c r="T421" s="333"/>
      <c r="U421" s="333"/>
      <c r="V421" s="333"/>
      <c r="W421" s="333"/>
      <c r="X421" s="333"/>
      <c r="Y421" s="333"/>
      <c r="Z421" s="333"/>
      <c r="AA421" s="333"/>
      <c r="AB421" s="333"/>
      <c r="AC421" s="333"/>
      <c r="AD421" s="333"/>
      <c r="AE421" s="333"/>
      <c r="AF421" s="333"/>
      <c r="AG421" s="333"/>
      <c r="AH421" s="333"/>
      <c r="AI421" s="333"/>
      <c r="AJ421" s="333"/>
      <c r="AK421" s="333"/>
      <c r="AL421" s="333"/>
      <c r="AM421" s="333"/>
      <c r="AN421" s="333"/>
      <c r="AO421" s="333"/>
    </row>
    <row r="422" spans="1:41" ht="15.75" customHeight="1">
      <c r="A422" s="298" t="s">
        <v>835</v>
      </c>
      <c r="B422" s="327">
        <f>('Pivot Table for Data Exchange'!$P$366)*100</f>
        <v>0</v>
      </c>
      <c r="C422" s="327">
        <f>('Pivot Table for Data Exchange'!$P$369)*100</f>
        <v>0</v>
      </c>
      <c r="D422" s="328">
        <f t="shared" si="87"/>
        <v>0</v>
      </c>
      <c r="E422" s="327">
        <f>('Pivot Table for Data Exchange'!$P$372)*100</f>
        <v>0</v>
      </c>
      <c r="F422" s="327">
        <f>('Pivot Table for Data Exchange'!$P$375)*100</f>
        <v>0</v>
      </c>
      <c r="G422" s="335">
        <f>('Pivot Table for Data Exchange'!$P$378)*100</f>
        <v>0</v>
      </c>
      <c r="H422" s="327">
        <f>('Pivot Table for Data Exchange'!$P$381)*100</f>
        <v>0</v>
      </c>
      <c r="I422" s="298"/>
      <c r="J422" s="366"/>
      <c r="K422" s="366"/>
      <c r="L422" s="366"/>
      <c r="M422" s="366"/>
      <c r="N422" s="366"/>
      <c r="O422" s="366"/>
      <c r="P422" s="366"/>
      <c r="Q422" s="332">
        <f t="shared" si="83"/>
        <v>0</v>
      </c>
      <c r="R422" s="332"/>
      <c r="S422" s="333"/>
      <c r="T422" s="307"/>
      <c r="U422" s="333"/>
      <c r="V422" s="333"/>
      <c r="W422" s="333"/>
      <c r="X422" s="333"/>
      <c r="Y422" s="333"/>
      <c r="Z422" s="333"/>
      <c r="AA422" s="333"/>
      <c r="AB422" s="333"/>
      <c r="AC422" s="333"/>
      <c r="AD422" s="333"/>
      <c r="AE422" s="333"/>
      <c r="AF422" s="333"/>
      <c r="AG422" s="333"/>
      <c r="AH422" s="333"/>
      <c r="AI422" s="333"/>
      <c r="AJ422" s="333"/>
      <c r="AK422" s="333"/>
      <c r="AL422" s="333"/>
      <c r="AM422" s="333"/>
      <c r="AN422" s="333"/>
      <c r="AO422" s="333"/>
    </row>
    <row r="423" spans="1:41" ht="15.75" customHeight="1">
      <c r="A423" s="298" t="s">
        <v>836</v>
      </c>
      <c r="B423" s="327">
        <f>('Pivot Table for Data Exchange'!$P$402)*100</f>
        <v>0</v>
      </c>
      <c r="C423" s="327">
        <f>('Pivot Table for Data Exchange'!$P$405)*100</f>
        <v>0</v>
      </c>
      <c r="D423" s="328">
        <f>SUM(E423:G423)</f>
        <v>0</v>
      </c>
      <c r="E423" s="327">
        <f>('Pivot Table for Data Exchange'!$P$408)*100</f>
        <v>0</v>
      </c>
      <c r="F423" s="327">
        <f>('Pivot Table for Data Exchange'!$P$411)*100</f>
        <v>0</v>
      </c>
      <c r="G423" s="335">
        <f>('Pivot Table for Data Exchange'!$P$414)*100</f>
        <v>0</v>
      </c>
      <c r="H423" s="327">
        <f>('Pivot Table for Data Exchange'!$P$417)*100</f>
        <v>0</v>
      </c>
      <c r="I423" s="298"/>
      <c r="J423" s="366"/>
      <c r="K423" s="366"/>
      <c r="L423" s="366"/>
      <c r="M423" s="366"/>
      <c r="N423" s="366"/>
      <c r="O423" s="366"/>
      <c r="P423" s="366"/>
      <c r="Q423" s="332">
        <f t="shared" si="83"/>
        <v>0</v>
      </c>
      <c r="R423" s="332"/>
      <c r="S423" s="333"/>
      <c r="T423" s="333"/>
      <c r="U423" s="333"/>
      <c r="V423" s="333"/>
      <c r="W423" s="333"/>
      <c r="X423" s="333"/>
      <c r="Y423" s="333"/>
      <c r="Z423" s="333"/>
      <c r="AA423" s="333"/>
      <c r="AB423" s="333"/>
      <c r="AC423" s="333"/>
      <c r="AD423" s="333"/>
      <c r="AE423" s="333"/>
      <c r="AF423" s="333"/>
      <c r="AG423" s="333"/>
      <c r="AH423" s="333"/>
      <c r="AI423" s="333"/>
      <c r="AJ423" s="333"/>
      <c r="AK423" s="333"/>
      <c r="AL423" s="333"/>
      <c r="AM423" s="333"/>
      <c r="AN423" s="333"/>
      <c r="AO423" s="333"/>
    </row>
    <row r="424" spans="1:41" ht="15.75" customHeight="1">
      <c r="B424" s="327"/>
      <c r="C424" s="327"/>
      <c r="D424" s="328"/>
      <c r="E424" s="327"/>
      <c r="F424" s="327"/>
      <c r="G424" s="335"/>
      <c r="H424" s="327"/>
      <c r="I424" s="298"/>
      <c r="J424" s="366"/>
      <c r="K424" s="366"/>
      <c r="L424" s="366"/>
      <c r="M424" s="366"/>
      <c r="N424" s="366"/>
      <c r="O424" s="366"/>
      <c r="P424" s="366"/>
      <c r="Q424" s="332">
        <f t="shared" si="83"/>
        <v>0</v>
      </c>
      <c r="R424" s="332"/>
      <c r="S424" s="333"/>
      <c r="T424" s="333"/>
      <c r="U424" s="333"/>
      <c r="V424" s="333"/>
      <c r="W424" s="333"/>
      <c r="X424" s="333"/>
      <c r="Y424" s="333"/>
      <c r="Z424" s="333"/>
      <c r="AA424" s="333"/>
      <c r="AB424" s="333"/>
      <c r="AC424" s="333"/>
      <c r="AD424" s="333"/>
      <c r="AE424" s="333"/>
      <c r="AF424" s="333"/>
      <c r="AG424" s="333"/>
      <c r="AH424" s="333"/>
      <c r="AI424" s="333"/>
      <c r="AJ424" s="333"/>
      <c r="AK424" s="333"/>
      <c r="AL424" s="333"/>
      <c r="AM424" s="333"/>
      <c r="AN424" s="333"/>
      <c r="AO424" s="333"/>
    </row>
    <row r="425" spans="1:41" ht="15.75" customHeight="1">
      <c r="A425" s="298" t="s">
        <v>837</v>
      </c>
      <c r="B425" s="327">
        <f>('Pivot Table for Data Exchange'!$P$438)*100</f>
        <v>0</v>
      </c>
      <c r="C425" s="327">
        <f>('Pivot Table for Data Exchange'!$P$441)*100</f>
        <v>0</v>
      </c>
      <c r="D425" s="328">
        <f>SUM(E425:G425)</f>
        <v>0</v>
      </c>
      <c r="E425" s="327">
        <f>('Pivot Table for Data Exchange'!$P$444)*100</f>
        <v>0</v>
      </c>
      <c r="F425" s="327">
        <f>('Pivot Table for Data Exchange'!$P$447)*100</f>
        <v>0</v>
      </c>
      <c r="G425" s="335">
        <f>('Pivot Table for Data Exchange'!$P$450)*100</f>
        <v>0</v>
      </c>
      <c r="H425" s="327">
        <f>('Pivot Table for Data Exchange'!$P$453)*100</f>
        <v>0</v>
      </c>
      <c r="I425" s="298"/>
      <c r="J425" s="366"/>
      <c r="K425" s="366"/>
      <c r="L425" s="366"/>
      <c r="M425" s="366"/>
      <c r="N425" s="366"/>
      <c r="O425" s="366"/>
      <c r="P425" s="366"/>
      <c r="Q425" s="332">
        <f t="shared" si="83"/>
        <v>0</v>
      </c>
      <c r="R425" s="332"/>
      <c r="S425" s="333"/>
      <c r="T425" s="333"/>
      <c r="U425" s="333"/>
      <c r="V425" s="333"/>
      <c r="W425" s="333"/>
      <c r="X425" s="333"/>
      <c r="Y425" s="333"/>
      <c r="Z425" s="333"/>
      <c r="AA425" s="333"/>
      <c r="AB425" s="333"/>
      <c r="AC425" s="333"/>
      <c r="AD425" s="333"/>
      <c r="AE425" s="333"/>
      <c r="AF425" s="333"/>
      <c r="AG425" s="333"/>
      <c r="AH425" s="333"/>
      <c r="AI425" s="333"/>
      <c r="AJ425" s="333"/>
      <c r="AK425" s="333"/>
      <c r="AL425" s="333"/>
      <c r="AM425" s="333"/>
      <c r="AN425" s="333"/>
      <c r="AO425" s="333"/>
    </row>
    <row r="426" spans="1:41" ht="15.75" customHeight="1">
      <c r="A426" s="298" t="s">
        <v>838</v>
      </c>
      <c r="B426" s="327">
        <f>('Pivot Table for Data Exchange'!$P$474)*100</f>
        <v>0</v>
      </c>
      <c r="C426" s="327">
        <f>('Pivot Table for Data Exchange'!$P$477)*100</f>
        <v>0</v>
      </c>
      <c r="D426" s="328">
        <f>SUM(E426:G426)</f>
        <v>0</v>
      </c>
      <c r="E426" s="327">
        <f>('Pivot Table for Data Exchange'!$P$480)*100</f>
        <v>0</v>
      </c>
      <c r="F426" s="327">
        <f>('Pivot Table for Data Exchange'!$P$483)*100</f>
        <v>0</v>
      </c>
      <c r="G426" s="335">
        <f>('Pivot Table for Data Exchange'!$P$486)*100</f>
        <v>0</v>
      </c>
      <c r="H426" s="327">
        <f>('Pivot Table for Data Exchange'!$P$489)*100</f>
        <v>0</v>
      </c>
      <c r="I426" s="298"/>
      <c r="J426" s="366"/>
      <c r="K426" s="366"/>
      <c r="L426" s="366"/>
      <c r="M426" s="366"/>
      <c r="N426" s="366"/>
      <c r="O426" s="366"/>
      <c r="P426" s="366"/>
      <c r="Q426" s="332">
        <f t="shared" si="83"/>
        <v>0</v>
      </c>
      <c r="R426" s="332"/>
      <c r="S426" s="333"/>
      <c r="T426" s="333"/>
      <c r="U426" s="333"/>
      <c r="V426" s="333"/>
      <c r="W426" s="333"/>
      <c r="X426" s="333"/>
      <c r="Y426" s="333"/>
      <c r="Z426" s="333"/>
      <c r="AA426" s="333"/>
      <c r="AB426" s="333"/>
      <c r="AC426" s="333"/>
      <c r="AD426" s="333"/>
      <c r="AE426" s="333"/>
      <c r="AF426" s="333"/>
      <c r="AG426" s="333"/>
      <c r="AH426" s="333"/>
      <c r="AI426" s="333"/>
      <c r="AJ426" s="333"/>
      <c r="AK426" s="333"/>
      <c r="AL426" s="333"/>
      <c r="AM426" s="333"/>
      <c r="AN426" s="333"/>
      <c r="AO426" s="333"/>
    </row>
    <row r="427" spans="1:41" ht="15.75" customHeight="1">
      <c r="A427" s="298" t="s">
        <v>839</v>
      </c>
      <c r="B427" s="327">
        <f>('Pivot Table for Data Exchange'!$P$510)*100</f>
        <v>0</v>
      </c>
      <c r="C427" s="327">
        <f>('Pivot Table for Data Exchange'!$P$513)*100</f>
        <v>0</v>
      </c>
      <c r="D427" s="328">
        <f t="shared" ref="D427" si="88">SUM(E427:G427)</f>
        <v>0</v>
      </c>
      <c r="E427" s="327">
        <f>('Pivot Table for Data Exchange'!$P$516)*100</f>
        <v>0</v>
      </c>
      <c r="F427" s="327">
        <f>('Pivot Table for Data Exchange'!$P$519)*100</f>
        <v>0</v>
      </c>
      <c r="G427" s="335">
        <f>('Pivot Table for Data Exchange'!$P$522)*100</f>
        <v>0</v>
      </c>
      <c r="H427" s="327">
        <f>('Pivot Table for Data Exchange'!$P$525)*100</f>
        <v>0</v>
      </c>
      <c r="I427" s="298"/>
      <c r="J427" s="366"/>
      <c r="K427" s="366"/>
      <c r="L427" s="366"/>
      <c r="M427" s="366"/>
      <c r="N427" s="366"/>
      <c r="O427" s="366"/>
      <c r="P427" s="366"/>
      <c r="Q427" s="332">
        <f t="shared" si="83"/>
        <v>0</v>
      </c>
      <c r="R427" s="332"/>
      <c r="S427" s="333"/>
      <c r="T427" s="333"/>
      <c r="U427" s="333"/>
      <c r="V427" s="333"/>
      <c r="W427" s="333"/>
      <c r="X427" s="333"/>
      <c r="Y427" s="333"/>
      <c r="Z427" s="333"/>
      <c r="AA427" s="333"/>
      <c r="AB427" s="333"/>
      <c r="AC427" s="333"/>
      <c r="AD427" s="333"/>
      <c r="AE427" s="333"/>
      <c r="AF427" s="333"/>
      <c r="AG427" s="333"/>
      <c r="AH427" s="333"/>
      <c r="AI427" s="333"/>
      <c r="AJ427" s="333"/>
      <c r="AK427" s="333"/>
      <c r="AL427" s="333"/>
      <c r="AM427" s="333"/>
      <c r="AN427" s="333"/>
      <c r="AO427" s="333"/>
    </row>
    <row r="428" spans="1:41" ht="15.75" customHeight="1">
      <c r="A428" s="304" t="s">
        <v>840</v>
      </c>
      <c r="B428" s="340">
        <f>('Pivot Table for Data Exchange'!$P$546)*100</f>
        <v>0</v>
      </c>
      <c r="C428" s="340">
        <f>('Pivot Table for Data Exchange'!$P$549)*100</f>
        <v>0</v>
      </c>
      <c r="D428" s="341">
        <f>SUM(E428:G428)</f>
        <v>0</v>
      </c>
      <c r="E428" s="340">
        <f>('Pivot Table for Data Exchange'!$P$552)*100</f>
        <v>0</v>
      </c>
      <c r="F428" s="340">
        <f>('Pivot Table for Data Exchange'!$P$555)*100</f>
        <v>0</v>
      </c>
      <c r="G428" s="342">
        <f>('Pivot Table for Data Exchange'!$P$558)*100</f>
        <v>0</v>
      </c>
      <c r="H428" s="340">
        <f>('Pivot Table for Data Exchange'!$P$561)*100</f>
        <v>0</v>
      </c>
      <c r="I428" s="298"/>
      <c r="J428" s="366"/>
      <c r="K428" s="366"/>
      <c r="L428" s="366"/>
      <c r="M428" s="366"/>
      <c r="N428" s="366"/>
      <c r="O428" s="366"/>
      <c r="P428" s="366"/>
      <c r="Q428" s="332">
        <f t="shared" si="83"/>
        <v>0</v>
      </c>
      <c r="R428" s="332"/>
      <c r="S428" s="333"/>
      <c r="T428" s="333"/>
      <c r="U428" s="333"/>
      <c r="V428" s="333"/>
      <c r="W428" s="333"/>
      <c r="X428" s="333"/>
      <c r="Y428" s="333"/>
      <c r="Z428" s="333"/>
      <c r="AA428" s="333"/>
      <c r="AB428" s="333"/>
      <c r="AC428" s="333"/>
      <c r="AD428" s="333"/>
      <c r="AE428" s="333"/>
      <c r="AF428" s="333"/>
      <c r="AG428" s="333"/>
      <c r="AH428" s="333"/>
      <c r="AI428" s="333"/>
      <c r="AJ428" s="333"/>
      <c r="AK428" s="333"/>
      <c r="AL428" s="333"/>
      <c r="AM428" s="333"/>
      <c r="AN428" s="333"/>
      <c r="AO428" s="333"/>
    </row>
    <row r="429" spans="1:41" s="345" customFormat="1" ht="12" customHeight="1">
      <c r="A429" s="346" t="s">
        <v>866</v>
      </c>
      <c r="B429" s="347"/>
      <c r="C429" s="347"/>
      <c r="D429" s="348"/>
      <c r="E429" s="347"/>
      <c r="F429" s="348"/>
      <c r="G429" s="348"/>
      <c r="H429" s="347"/>
      <c r="I429" s="356"/>
      <c r="J429" s="347"/>
      <c r="K429" s="347"/>
      <c r="L429" s="348"/>
      <c r="M429" s="347"/>
      <c r="N429" s="348"/>
      <c r="O429" s="348"/>
      <c r="P429" s="347"/>
      <c r="Q429" s="332">
        <f t="shared" si="83"/>
        <v>0</v>
      </c>
      <c r="R429" s="367"/>
      <c r="S429" s="349"/>
      <c r="T429" s="349"/>
      <c r="U429" s="349"/>
      <c r="V429" s="349"/>
      <c r="W429" s="349"/>
      <c r="X429" s="349"/>
      <c r="Y429" s="349"/>
      <c r="Z429" s="349"/>
      <c r="AA429" s="349"/>
      <c r="AB429" s="349"/>
      <c r="AC429" s="349"/>
      <c r="AD429" s="349"/>
      <c r="AE429" s="349"/>
      <c r="AF429" s="349"/>
      <c r="AG429" s="349"/>
      <c r="AH429" s="349"/>
      <c r="AI429" s="349"/>
      <c r="AJ429" s="349"/>
      <c r="AK429" s="349"/>
      <c r="AL429" s="349"/>
      <c r="AM429" s="349"/>
      <c r="AN429" s="349"/>
      <c r="AO429" s="349"/>
    </row>
    <row r="430" spans="1:41" s="345" customFormat="1" ht="13.5" customHeight="1">
      <c r="A430" s="356"/>
      <c r="B430" s="357"/>
      <c r="I430" s="356"/>
      <c r="P430" s="358"/>
      <c r="Q430" s="332">
        <f t="shared" si="83"/>
        <v>0</v>
      </c>
      <c r="R430" s="368"/>
    </row>
    <row r="431" spans="1:41" s="345" customFormat="1" ht="13.5" customHeight="1">
      <c r="A431" s="356"/>
      <c r="H431" s="351" t="s">
        <v>980</v>
      </c>
      <c r="I431" s="356"/>
      <c r="Q431" s="332">
        <f t="shared" si="83"/>
        <v>0</v>
      </c>
      <c r="R431" s="368"/>
    </row>
    <row r="432" spans="1:41" ht="18">
      <c r="A432" s="293" t="s">
        <v>889</v>
      </c>
      <c r="B432" s="294"/>
      <c r="C432" s="294"/>
      <c r="D432" s="294"/>
      <c r="E432" s="294"/>
      <c r="F432" s="294"/>
      <c r="G432" s="294"/>
      <c r="H432" s="294"/>
      <c r="Q432" s="332">
        <f t="shared" si="83"/>
        <v>0</v>
      </c>
    </row>
    <row r="433" spans="1:41">
      <c r="A433" s="299"/>
      <c r="B433" s="295"/>
      <c r="C433" s="295"/>
      <c r="D433" s="295"/>
      <c r="E433" s="295"/>
      <c r="F433" s="295"/>
      <c r="G433" s="295"/>
      <c r="H433" s="295"/>
      <c r="Q433" s="332">
        <f t="shared" si="83"/>
        <v>0</v>
      </c>
    </row>
    <row r="434" spans="1:41" ht="15.75">
      <c r="A434" s="301" t="s">
        <v>846</v>
      </c>
      <c r="B434" s="295"/>
      <c r="C434" s="295"/>
      <c r="D434" s="295"/>
      <c r="E434" s="295"/>
      <c r="F434" s="295"/>
      <c r="G434" s="295"/>
      <c r="H434" s="295"/>
      <c r="Q434" s="332">
        <f t="shared" si="83"/>
        <v>0</v>
      </c>
    </row>
    <row r="435" spans="1:41" ht="15.75">
      <c r="A435" s="301" t="s">
        <v>905</v>
      </c>
      <c r="B435" s="295"/>
      <c r="C435" s="295"/>
      <c r="D435" s="295"/>
      <c r="E435" s="295"/>
      <c r="F435" s="295"/>
      <c r="G435" s="295"/>
      <c r="H435" s="295"/>
      <c r="Q435" s="332">
        <f t="shared" si="83"/>
        <v>0</v>
      </c>
    </row>
    <row r="436" spans="1:41">
      <c r="A436" s="304"/>
      <c r="B436" s="305"/>
      <c r="C436" s="305"/>
      <c r="D436" s="305"/>
      <c r="E436" s="305"/>
      <c r="F436" s="305"/>
      <c r="G436" s="305"/>
      <c r="H436" s="305"/>
      <c r="Q436" s="332">
        <f t="shared" si="83"/>
        <v>0</v>
      </c>
    </row>
    <row r="437" spans="1:41">
      <c r="A437" s="309"/>
      <c r="B437" s="310" t="s">
        <v>848</v>
      </c>
      <c r="C437" s="310"/>
      <c r="D437" s="310"/>
      <c r="E437" s="310"/>
      <c r="F437" s="310"/>
      <c r="G437" s="310"/>
      <c r="H437" s="311"/>
      <c r="Q437" s="332">
        <f t="shared" si="83"/>
        <v>0</v>
      </c>
    </row>
    <row r="438" spans="1:41">
      <c r="A438" s="309"/>
      <c r="B438" s="310" t="s">
        <v>849</v>
      </c>
      <c r="C438" s="310"/>
      <c r="D438" s="450" t="s">
        <v>850</v>
      </c>
      <c r="E438" s="448"/>
      <c r="F438" s="448"/>
      <c r="G438" s="448"/>
      <c r="H438" s="317" t="s">
        <v>740</v>
      </c>
      <c r="Q438" s="332">
        <f t="shared" si="83"/>
        <v>0</v>
      </c>
    </row>
    <row r="439" spans="1:41" ht="36">
      <c r="A439" s="309"/>
      <c r="B439" s="318" t="s">
        <v>851</v>
      </c>
      <c r="C439" s="319" t="s">
        <v>852</v>
      </c>
      <c r="D439" s="320" t="s">
        <v>853</v>
      </c>
      <c r="E439" s="321" t="s">
        <v>8</v>
      </c>
      <c r="F439" s="318" t="s">
        <v>854</v>
      </c>
      <c r="G439" s="322" t="s">
        <v>864</v>
      </c>
      <c r="H439" s="323" t="s">
        <v>856</v>
      </c>
      <c r="Q439" s="332">
        <f t="shared" si="83"/>
        <v>0</v>
      </c>
    </row>
    <row r="440" spans="1:41" ht="15.75" customHeight="1">
      <c r="A440" s="353" t="s">
        <v>825</v>
      </c>
      <c r="B440" s="327">
        <f>('Pivot Table for Data Exchange'!$Q$6)*100</f>
        <v>85.017280847434805</v>
      </c>
      <c r="C440" s="327">
        <f>('Pivot Table for Data Exchange'!$Q$9)*100</f>
        <v>5.089995062615019</v>
      </c>
      <c r="D440" s="328">
        <f>SUM(E440:G440)</f>
        <v>9.8927240899501783</v>
      </c>
      <c r="E440" s="327">
        <f>('Pivot Table for Data Exchange'!$Q$12)*100</f>
        <v>9.8927240899501783</v>
      </c>
      <c r="F440" s="327">
        <f>('Pivot Table for Data Exchange'!$Q$15)*100</f>
        <v>0</v>
      </c>
      <c r="G440" s="331">
        <f>('Pivot Table for Data Exchange'!$Q$18)*100</f>
        <v>0</v>
      </c>
      <c r="H440" s="327">
        <f>('Pivot Table for Data Exchange'!$Q$21)*100</f>
        <v>0</v>
      </c>
      <c r="I440" s="298"/>
      <c r="J440" s="366"/>
      <c r="K440" s="366"/>
      <c r="L440" s="366"/>
      <c r="M440" s="366"/>
      <c r="N440" s="366"/>
      <c r="O440" s="366"/>
      <c r="P440" s="366"/>
      <c r="Q440" s="332">
        <f t="shared" si="83"/>
        <v>100</v>
      </c>
      <c r="R440" s="332"/>
      <c r="S440" s="333"/>
      <c r="T440" s="333"/>
      <c r="U440" s="333"/>
      <c r="V440" s="333"/>
      <c r="W440" s="333"/>
      <c r="X440" s="333"/>
      <c r="Y440" s="333"/>
      <c r="Z440" s="333"/>
      <c r="AA440" s="333"/>
      <c r="AB440" s="333"/>
      <c r="AC440" s="333"/>
      <c r="AD440" s="333"/>
      <c r="AE440" s="333"/>
      <c r="AF440" s="333"/>
      <c r="AG440" s="333"/>
      <c r="AH440" s="333"/>
      <c r="AI440" s="333"/>
      <c r="AJ440" s="333"/>
      <c r="AK440" s="333"/>
      <c r="AL440" s="333"/>
      <c r="AM440" s="333"/>
      <c r="AN440" s="333"/>
      <c r="AO440" s="333"/>
    </row>
    <row r="441" spans="1:41" ht="15.75" customHeight="1">
      <c r="A441" s="298" t="s">
        <v>826</v>
      </c>
      <c r="B441" s="327">
        <f>('Pivot Table for Data Exchange'!$Q$42)*100</f>
        <v>0</v>
      </c>
      <c r="C441" s="327">
        <f>('Pivot Table for Data Exchange'!$Q$45)*100</f>
        <v>0</v>
      </c>
      <c r="D441" s="328">
        <f t="shared" ref="D441:D443" si="89">SUM(E441:G441)</f>
        <v>0</v>
      </c>
      <c r="E441" s="327">
        <f>('Pivot Table for Data Exchange'!$Q$48)*100</f>
        <v>0</v>
      </c>
      <c r="F441" s="327">
        <f>('Pivot Table for Data Exchange'!$Q$51)*100</f>
        <v>0</v>
      </c>
      <c r="G441" s="335">
        <f>('Pivot Table for Data Exchange'!$Q$54)*100</f>
        <v>0</v>
      </c>
      <c r="H441" s="327">
        <f>('Pivot Table for Data Exchange'!$Q$57)*100</f>
        <v>0</v>
      </c>
      <c r="I441" s="298"/>
      <c r="J441" s="366"/>
      <c r="K441" s="366"/>
      <c r="L441" s="366"/>
      <c r="M441" s="366"/>
      <c r="N441" s="366"/>
      <c r="O441" s="366"/>
      <c r="P441" s="366"/>
      <c r="Q441" s="332">
        <f t="shared" si="83"/>
        <v>0</v>
      </c>
      <c r="R441" s="332"/>
      <c r="S441" s="333"/>
      <c r="T441" s="333"/>
      <c r="U441" s="333"/>
      <c r="V441" s="333"/>
      <c r="W441" s="333"/>
      <c r="X441" s="333"/>
      <c r="Y441" s="333"/>
      <c r="Z441" s="333"/>
      <c r="AA441" s="333"/>
      <c r="AB441" s="333"/>
      <c r="AC441" s="333"/>
      <c r="AD441" s="333"/>
      <c r="AE441" s="333"/>
      <c r="AF441" s="333"/>
      <c r="AG441" s="333"/>
      <c r="AH441" s="333"/>
      <c r="AI441" s="333"/>
      <c r="AJ441" s="333"/>
      <c r="AK441" s="333"/>
      <c r="AL441" s="333"/>
      <c r="AM441" s="333"/>
      <c r="AN441" s="333"/>
      <c r="AO441" s="333"/>
    </row>
    <row r="442" spans="1:41" ht="15.75" customHeight="1">
      <c r="A442" s="298" t="s">
        <v>827</v>
      </c>
      <c r="B442" s="327">
        <f>('Pivot Table for Data Exchange'!$Q$78)*100</f>
        <v>0</v>
      </c>
      <c r="C442" s="327">
        <f>('Pivot Table for Data Exchange'!$Q$81)*100</f>
        <v>0</v>
      </c>
      <c r="D442" s="328">
        <f t="shared" si="89"/>
        <v>0</v>
      </c>
      <c r="E442" s="327">
        <f>('Pivot Table for Data Exchange'!$Q$84)*100</f>
        <v>0</v>
      </c>
      <c r="F442" s="327">
        <f>('Pivot Table for Data Exchange'!$Q$87)*100</f>
        <v>0</v>
      </c>
      <c r="G442" s="335">
        <f>('Pivot Table for Data Exchange'!$Q$90)*100</f>
        <v>0</v>
      </c>
      <c r="H442" s="327">
        <f>('Pivot Table for Data Exchange'!$Q$93)*100</f>
        <v>0</v>
      </c>
      <c r="I442" s="298"/>
      <c r="J442" s="366"/>
      <c r="K442" s="366"/>
      <c r="L442" s="366"/>
      <c r="M442" s="366"/>
      <c r="N442" s="366"/>
      <c r="O442" s="366"/>
      <c r="P442" s="366"/>
      <c r="Q442" s="332">
        <f t="shared" si="83"/>
        <v>0</v>
      </c>
      <c r="R442" s="332"/>
      <c r="S442" s="333"/>
      <c r="T442" s="307"/>
      <c r="U442" s="333"/>
      <c r="V442" s="333"/>
      <c r="W442" s="333"/>
      <c r="X442" s="333"/>
      <c r="Y442" s="333"/>
      <c r="Z442" s="333"/>
      <c r="AA442" s="333"/>
      <c r="AB442" s="333"/>
      <c r="AC442" s="333"/>
      <c r="AD442" s="333"/>
      <c r="AE442" s="333"/>
      <c r="AF442" s="333"/>
      <c r="AG442" s="333"/>
      <c r="AH442" s="333"/>
      <c r="AI442" s="333"/>
      <c r="AJ442" s="333"/>
      <c r="AK442" s="333"/>
      <c r="AL442" s="333"/>
      <c r="AM442" s="333"/>
      <c r="AN442" s="333"/>
      <c r="AO442" s="333"/>
    </row>
    <row r="443" spans="1:41" ht="15.75" customHeight="1">
      <c r="A443" s="298" t="s">
        <v>828</v>
      </c>
      <c r="B443" s="327">
        <f>('Pivot Table for Data Exchange'!$Q$114)*100</f>
        <v>0</v>
      </c>
      <c r="C443" s="327">
        <f>('Pivot Table for Data Exchange'!$Q$117)*100</f>
        <v>0</v>
      </c>
      <c r="D443" s="328">
        <f t="shared" si="89"/>
        <v>0</v>
      </c>
      <c r="E443" s="327">
        <f>('Pivot Table for Data Exchange'!$Q$120)*100</f>
        <v>0</v>
      </c>
      <c r="F443" s="327">
        <f>('Pivot Table for Data Exchange'!$Q$123)*100</f>
        <v>0</v>
      </c>
      <c r="G443" s="335">
        <f>('Pivot Table for Data Exchange'!$Q$126)*100</f>
        <v>0</v>
      </c>
      <c r="H443" s="327">
        <f>('Pivot Table for Data Exchange'!$Q$129)*100</f>
        <v>0</v>
      </c>
      <c r="I443" s="298"/>
      <c r="J443" s="366"/>
      <c r="K443" s="366"/>
      <c r="L443" s="366"/>
      <c r="M443" s="366"/>
      <c r="N443" s="366"/>
      <c r="O443" s="366"/>
      <c r="P443" s="366"/>
      <c r="Q443" s="332">
        <f t="shared" si="83"/>
        <v>0</v>
      </c>
      <c r="R443" s="332"/>
      <c r="S443" s="333"/>
      <c r="U443" s="333"/>
      <c r="V443" s="333"/>
      <c r="W443" s="333"/>
      <c r="X443" s="333"/>
      <c r="Y443" s="333"/>
      <c r="Z443" s="333"/>
      <c r="AA443" s="333"/>
      <c r="AB443" s="333"/>
      <c r="AC443" s="333"/>
      <c r="AD443" s="333"/>
      <c r="AE443" s="333"/>
      <c r="AF443" s="333"/>
      <c r="AG443" s="333"/>
      <c r="AH443" s="333"/>
      <c r="AI443" s="333"/>
      <c r="AJ443" s="333"/>
      <c r="AK443" s="333"/>
      <c r="AL443" s="333"/>
      <c r="AM443" s="333"/>
      <c r="AN443" s="333"/>
      <c r="AO443" s="333"/>
    </row>
    <row r="444" spans="1:41" ht="15.75" customHeight="1">
      <c r="B444" s="327"/>
      <c r="C444" s="327"/>
      <c r="D444" s="328"/>
      <c r="E444" s="327"/>
      <c r="F444" s="327"/>
      <c r="G444" s="335"/>
      <c r="H444" s="327"/>
      <c r="I444" s="298"/>
      <c r="J444" s="366"/>
      <c r="K444" s="366"/>
      <c r="L444" s="366"/>
      <c r="M444" s="366"/>
      <c r="N444" s="366"/>
      <c r="O444" s="366"/>
      <c r="P444" s="366"/>
      <c r="Q444" s="332">
        <f t="shared" si="83"/>
        <v>0</v>
      </c>
      <c r="R444" s="332"/>
      <c r="S444" s="333"/>
      <c r="U444" s="333"/>
      <c r="V444" s="333"/>
      <c r="W444" s="333"/>
      <c r="X444" s="333"/>
      <c r="Y444" s="333"/>
      <c r="Z444" s="333"/>
      <c r="AA444" s="333"/>
      <c r="AB444" s="333"/>
      <c r="AC444" s="333"/>
      <c r="AD444" s="333"/>
      <c r="AE444" s="333"/>
      <c r="AF444" s="333"/>
      <c r="AG444" s="333"/>
      <c r="AH444" s="333"/>
      <c r="AI444" s="333"/>
      <c r="AJ444" s="333"/>
      <c r="AK444" s="333"/>
      <c r="AL444" s="333"/>
      <c r="AM444" s="333"/>
      <c r="AN444" s="333"/>
      <c r="AO444" s="333"/>
    </row>
    <row r="445" spans="1:41" ht="15.75" customHeight="1">
      <c r="A445" s="298" t="s">
        <v>829</v>
      </c>
      <c r="B445" s="327">
        <f>('Pivot Table for Data Exchange'!$Q$150)*100</f>
        <v>0</v>
      </c>
      <c r="C445" s="327">
        <f>('Pivot Table for Data Exchange'!$Q$153)*100</f>
        <v>0</v>
      </c>
      <c r="D445" s="328">
        <f t="shared" ref="D445:D448" si="90">SUM(E445:G445)</f>
        <v>0</v>
      </c>
      <c r="E445" s="327">
        <f>('Pivot Table for Data Exchange'!$Q$156)*100</f>
        <v>0</v>
      </c>
      <c r="F445" s="327">
        <f>('Pivot Table for Data Exchange'!$Q$159)*100</f>
        <v>0</v>
      </c>
      <c r="G445" s="335">
        <f>('Pivot Table for Data Exchange'!$Q$162)*100</f>
        <v>0</v>
      </c>
      <c r="H445" s="327">
        <f>('Pivot Table for Data Exchange'!$Q$165)*100</f>
        <v>0</v>
      </c>
      <c r="I445" s="298"/>
      <c r="J445" s="366"/>
      <c r="K445" s="366"/>
      <c r="L445" s="366"/>
      <c r="M445" s="366"/>
      <c r="N445" s="366"/>
      <c r="O445" s="366"/>
      <c r="P445" s="366"/>
      <c r="Q445" s="332">
        <f t="shared" si="83"/>
        <v>0</v>
      </c>
      <c r="R445" s="332"/>
      <c r="S445" s="333"/>
      <c r="T445" s="333"/>
      <c r="U445" s="333"/>
      <c r="V445" s="333"/>
      <c r="W445" s="333"/>
      <c r="X445" s="333"/>
      <c r="Y445" s="333"/>
      <c r="Z445" s="333"/>
      <c r="AA445" s="333"/>
      <c r="AB445" s="333"/>
      <c r="AC445" s="333"/>
      <c r="AD445" s="333"/>
      <c r="AE445" s="333"/>
      <c r="AF445" s="333"/>
      <c r="AG445" s="333"/>
      <c r="AH445" s="333"/>
      <c r="AI445" s="333"/>
      <c r="AJ445" s="333"/>
      <c r="AK445" s="333"/>
      <c r="AL445" s="333"/>
      <c r="AM445" s="333"/>
      <c r="AN445" s="333"/>
      <c r="AO445" s="333"/>
    </row>
    <row r="446" spans="1:41" ht="15.75" customHeight="1">
      <c r="A446" s="298" t="s">
        <v>830</v>
      </c>
      <c r="B446" s="327">
        <f>('Pivot Table for Data Exchange'!$Q$186)*100</f>
        <v>0</v>
      </c>
      <c r="C446" s="327">
        <f>('Pivot Table for Data Exchange'!$Q$189)*100</f>
        <v>0</v>
      </c>
      <c r="D446" s="328">
        <f t="shared" si="90"/>
        <v>0</v>
      </c>
      <c r="E446" s="327">
        <f>('Pivot Table for Data Exchange'!$Q$192)*100</f>
        <v>0</v>
      </c>
      <c r="F446" s="327">
        <f>('Pivot Table for Data Exchange'!$Q$195)*100</f>
        <v>0</v>
      </c>
      <c r="G446" s="335">
        <f>('Pivot Table for Data Exchange'!$Q$198)*100</f>
        <v>0</v>
      </c>
      <c r="H446" s="327">
        <f>('Pivot Table for Data Exchange'!$Q$201)*100</f>
        <v>0</v>
      </c>
      <c r="I446" s="298"/>
      <c r="J446" s="366"/>
      <c r="K446" s="366"/>
      <c r="L446" s="366"/>
      <c r="M446" s="366"/>
      <c r="N446" s="366"/>
      <c r="O446" s="366"/>
      <c r="P446" s="366"/>
      <c r="Q446" s="332">
        <f t="shared" si="83"/>
        <v>0</v>
      </c>
      <c r="R446" s="332"/>
      <c r="S446" s="333"/>
      <c r="T446" s="333"/>
      <c r="U446" s="333"/>
      <c r="V446" s="333"/>
      <c r="W446" s="333"/>
      <c r="X446" s="333"/>
      <c r="Y446" s="333"/>
      <c r="Z446" s="333"/>
      <c r="AA446" s="333"/>
      <c r="AB446" s="333"/>
      <c r="AC446" s="333"/>
      <c r="AD446" s="333"/>
      <c r="AE446" s="333"/>
      <c r="AF446" s="333"/>
      <c r="AG446" s="333"/>
      <c r="AH446" s="333"/>
      <c r="AI446" s="333"/>
      <c r="AJ446" s="333"/>
      <c r="AK446" s="333"/>
      <c r="AL446" s="333"/>
      <c r="AM446" s="333"/>
      <c r="AN446" s="333"/>
      <c r="AO446" s="333"/>
    </row>
    <row r="447" spans="1:41" ht="15.75" customHeight="1">
      <c r="A447" s="298" t="s">
        <v>831</v>
      </c>
      <c r="B447" s="327">
        <f>('Pivot Table for Data Exchange'!$Q$222)*100</f>
        <v>0</v>
      </c>
      <c r="C447" s="327">
        <f>('Pivot Table for Data Exchange'!$Q$225)*100</f>
        <v>0</v>
      </c>
      <c r="D447" s="328">
        <f t="shared" si="90"/>
        <v>0</v>
      </c>
      <c r="E447" s="327">
        <f>('Pivot Table for Data Exchange'!$Q$228)*100</f>
        <v>0</v>
      </c>
      <c r="F447" s="327">
        <f>('Pivot Table for Data Exchange'!$Q$231)*100</f>
        <v>0</v>
      </c>
      <c r="G447" s="335">
        <f>('Pivot Table for Data Exchange'!$Q$234)*100</f>
        <v>0</v>
      </c>
      <c r="H447" s="327">
        <f>('Pivot Table for Data Exchange'!$Q$237)*100</f>
        <v>0</v>
      </c>
      <c r="I447" s="373"/>
      <c r="J447" s="366"/>
      <c r="K447" s="366"/>
      <c r="L447" s="366"/>
      <c r="M447" s="366"/>
      <c r="N447" s="366"/>
      <c r="O447" s="366"/>
      <c r="P447" s="366"/>
      <c r="Q447" s="332">
        <f>SUM(I447,C447,D447,H447)</f>
        <v>0</v>
      </c>
      <c r="R447" s="332"/>
      <c r="S447" s="333"/>
      <c r="T447" s="307"/>
      <c r="U447" s="333"/>
      <c r="V447" s="333"/>
      <c r="W447" s="333"/>
      <c r="X447" s="333"/>
      <c r="Y447" s="333"/>
      <c r="Z447" s="333"/>
      <c r="AA447" s="333"/>
      <c r="AB447" s="333"/>
      <c r="AC447" s="333"/>
      <c r="AD447" s="333"/>
      <c r="AE447" s="333"/>
      <c r="AF447" s="333"/>
      <c r="AG447" s="333"/>
      <c r="AH447" s="333"/>
      <c r="AI447" s="333"/>
      <c r="AJ447" s="333"/>
      <c r="AK447" s="333"/>
      <c r="AL447" s="333"/>
      <c r="AM447" s="333"/>
      <c r="AN447" s="333"/>
      <c r="AO447" s="333"/>
    </row>
    <row r="448" spans="1:41" ht="15.75" customHeight="1">
      <c r="A448" s="298" t="s">
        <v>832</v>
      </c>
      <c r="B448" s="327">
        <f>('Pivot Table for Data Exchange'!$Q$258)*100</f>
        <v>0</v>
      </c>
      <c r="C448" s="327">
        <f>('Pivot Table for Data Exchange'!$Q$261)*100</f>
        <v>0</v>
      </c>
      <c r="D448" s="328">
        <f t="shared" si="90"/>
        <v>0</v>
      </c>
      <c r="E448" s="327">
        <f>('Pivot Table for Data Exchange'!$Q$264)*100</f>
        <v>0</v>
      </c>
      <c r="F448" s="327">
        <f>('Pivot Table for Data Exchange'!$Q$267)*100</f>
        <v>0</v>
      </c>
      <c r="G448" s="335">
        <f>('Pivot Table for Data Exchange'!$Q$270)*100</f>
        <v>0</v>
      </c>
      <c r="H448" s="327">
        <f>('Pivot Table for Data Exchange'!$Q$273)*100</f>
        <v>0</v>
      </c>
      <c r="I448" s="298"/>
      <c r="J448" s="366"/>
      <c r="K448" s="366"/>
      <c r="L448" s="366"/>
      <c r="M448" s="366"/>
      <c r="N448" s="366"/>
      <c r="O448" s="366"/>
      <c r="P448" s="366"/>
      <c r="Q448" s="332">
        <f t="shared" si="83"/>
        <v>0</v>
      </c>
      <c r="R448" s="332"/>
      <c r="S448" s="333"/>
      <c r="U448" s="333"/>
      <c r="V448" s="333"/>
      <c r="W448" s="333"/>
      <c r="X448" s="333"/>
      <c r="Y448" s="333"/>
      <c r="Z448" s="333"/>
      <c r="AA448" s="333"/>
      <c r="AB448" s="333"/>
      <c r="AC448" s="333"/>
      <c r="AD448" s="333"/>
      <c r="AE448" s="333"/>
      <c r="AF448" s="333"/>
      <c r="AG448" s="333"/>
      <c r="AH448" s="333"/>
      <c r="AI448" s="333"/>
      <c r="AJ448" s="333"/>
      <c r="AK448" s="333"/>
      <c r="AL448" s="333"/>
      <c r="AM448" s="333"/>
      <c r="AN448" s="333"/>
      <c r="AO448" s="333"/>
    </row>
    <row r="449" spans="1:41" ht="15.75" customHeight="1">
      <c r="B449" s="327"/>
      <c r="C449" s="327"/>
      <c r="D449" s="328"/>
      <c r="E449" s="327"/>
      <c r="F449" s="327"/>
      <c r="G449" s="335"/>
      <c r="H449" s="327"/>
      <c r="I449" s="298"/>
      <c r="J449" s="366"/>
      <c r="K449" s="366"/>
      <c r="L449" s="366"/>
      <c r="M449" s="366"/>
      <c r="N449" s="366"/>
      <c r="O449" s="366"/>
      <c r="P449" s="366"/>
      <c r="Q449" s="332">
        <f t="shared" si="83"/>
        <v>0</v>
      </c>
      <c r="R449" s="332"/>
      <c r="S449" s="333"/>
      <c r="U449" s="333"/>
      <c r="V449" s="333"/>
      <c r="W449" s="333"/>
      <c r="X449" s="333"/>
      <c r="Y449" s="333"/>
      <c r="Z449" s="333"/>
      <c r="AA449" s="333"/>
      <c r="AB449" s="333"/>
      <c r="AC449" s="333"/>
      <c r="AD449" s="333"/>
      <c r="AE449" s="333"/>
      <c r="AF449" s="333"/>
      <c r="AG449" s="333"/>
      <c r="AH449" s="333"/>
      <c r="AI449" s="333"/>
      <c r="AJ449" s="333"/>
      <c r="AK449" s="333"/>
      <c r="AL449" s="333"/>
      <c r="AM449" s="333"/>
      <c r="AN449" s="333"/>
      <c r="AO449" s="333"/>
    </row>
    <row r="450" spans="1:41" ht="15.75" customHeight="1">
      <c r="A450" s="298" t="s">
        <v>833</v>
      </c>
      <c r="B450" s="327">
        <f>('Pivot Table for Data Exchange'!$Q$294)*100</f>
        <v>0</v>
      </c>
      <c r="C450" s="327">
        <f>('Pivot Table for Data Exchange'!$Q$297)*100</f>
        <v>0</v>
      </c>
      <c r="D450" s="328">
        <f t="shared" ref="D450:D452" si="91">SUM(E450:G450)</f>
        <v>0</v>
      </c>
      <c r="E450" s="327">
        <f>('Pivot Table for Data Exchange'!$Q$300)*100</f>
        <v>0</v>
      </c>
      <c r="F450" s="327">
        <f>('Pivot Table for Data Exchange'!$Q$303)*100</f>
        <v>0</v>
      </c>
      <c r="G450" s="335">
        <f>('Pivot Table for Data Exchange'!$Q$306)*100</f>
        <v>0</v>
      </c>
      <c r="H450" s="327">
        <f>('Pivot Table for Data Exchange'!$Q$309)*100</f>
        <v>0</v>
      </c>
      <c r="I450" s="298"/>
      <c r="J450" s="366"/>
      <c r="K450" s="366"/>
      <c r="L450" s="366"/>
      <c r="M450" s="366"/>
      <c r="N450" s="366"/>
      <c r="O450" s="366"/>
      <c r="P450" s="366"/>
      <c r="Q450" s="332">
        <f t="shared" si="83"/>
        <v>0</v>
      </c>
      <c r="R450" s="332"/>
      <c r="S450" s="333"/>
      <c r="T450" s="333"/>
      <c r="U450" s="333"/>
      <c r="V450" s="333"/>
      <c r="W450" s="333"/>
      <c r="X450" s="333"/>
      <c r="Y450" s="333"/>
      <c r="Z450" s="333"/>
      <c r="AA450" s="333"/>
      <c r="AB450" s="333"/>
      <c r="AC450" s="333"/>
      <c r="AD450" s="333"/>
      <c r="AE450" s="333"/>
      <c r="AF450" s="333"/>
      <c r="AG450" s="333"/>
      <c r="AH450" s="333"/>
      <c r="AI450" s="333"/>
      <c r="AJ450" s="333"/>
      <c r="AK450" s="333"/>
      <c r="AL450" s="333"/>
      <c r="AM450" s="333"/>
      <c r="AN450" s="333"/>
      <c r="AO450" s="333"/>
    </row>
    <row r="451" spans="1:41" ht="15.75" customHeight="1">
      <c r="A451" s="298" t="s">
        <v>834</v>
      </c>
      <c r="B451" s="327">
        <f>('Pivot Table for Data Exchange'!$Q$330)*100</f>
        <v>0</v>
      </c>
      <c r="C451" s="327">
        <f>('Pivot Table for Data Exchange'!$Q$333)*100</f>
        <v>0</v>
      </c>
      <c r="D451" s="328">
        <f t="shared" si="91"/>
        <v>0</v>
      </c>
      <c r="E451" s="327">
        <f>('Pivot Table for Data Exchange'!$Q$336)*100</f>
        <v>0</v>
      </c>
      <c r="F451" s="327">
        <f>('Pivot Table for Data Exchange'!$Q$339)*100</f>
        <v>0</v>
      </c>
      <c r="G451" s="335">
        <f>('Pivot Table for Data Exchange'!$Q$342)*100</f>
        <v>0</v>
      </c>
      <c r="H451" s="327">
        <f>('Pivot Table for Data Exchange'!$Q$345)*100</f>
        <v>0</v>
      </c>
      <c r="I451" s="298"/>
      <c r="J451" s="366"/>
      <c r="K451" s="366"/>
      <c r="L451" s="366"/>
      <c r="M451" s="366"/>
      <c r="N451" s="366"/>
      <c r="O451" s="366"/>
      <c r="P451" s="366"/>
      <c r="Q451" s="332">
        <f t="shared" si="83"/>
        <v>0</v>
      </c>
      <c r="R451" s="332"/>
      <c r="S451" s="333"/>
      <c r="T451" s="333"/>
      <c r="U451" s="333"/>
      <c r="V451" s="333"/>
      <c r="W451" s="333"/>
      <c r="X451" s="333"/>
      <c r="Y451" s="333"/>
      <c r="Z451" s="333"/>
      <c r="AA451" s="333"/>
      <c r="AB451" s="333"/>
      <c r="AC451" s="333"/>
      <c r="AD451" s="333"/>
      <c r="AE451" s="333"/>
      <c r="AF451" s="333"/>
      <c r="AG451" s="333"/>
      <c r="AH451" s="333"/>
      <c r="AI451" s="333"/>
      <c r="AJ451" s="333"/>
      <c r="AK451" s="333"/>
      <c r="AL451" s="333"/>
      <c r="AM451" s="333"/>
      <c r="AN451" s="333"/>
      <c r="AO451" s="333"/>
    </row>
    <row r="452" spans="1:41" ht="15.75" customHeight="1">
      <c r="A452" s="298" t="s">
        <v>835</v>
      </c>
      <c r="B452" s="327">
        <f>('Pivot Table for Data Exchange'!$Q$366)*100</f>
        <v>0</v>
      </c>
      <c r="C452" s="327">
        <f>('Pivot Table for Data Exchange'!$Q$369)*100</f>
        <v>0</v>
      </c>
      <c r="D452" s="328">
        <f t="shared" si="91"/>
        <v>0</v>
      </c>
      <c r="E452" s="327">
        <f>('Pivot Table for Data Exchange'!$Q$372)*100</f>
        <v>0</v>
      </c>
      <c r="F452" s="327">
        <f>('Pivot Table for Data Exchange'!$Q$375)*100</f>
        <v>0</v>
      </c>
      <c r="G452" s="335">
        <f>('Pivot Table for Data Exchange'!$Q$378)*100</f>
        <v>0</v>
      </c>
      <c r="H452" s="327">
        <f>('Pivot Table for Data Exchange'!$Q$381)*100</f>
        <v>0</v>
      </c>
      <c r="I452" s="298"/>
      <c r="J452" s="366"/>
      <c r="K452" s="366"/>
      <c r="L452" s="366"/>
      <c r="M452" s="366"/>
      <c r="N452" s="366"/>
      <c r="O452" s="366"/>
      <c r="P452" s="366"/>
      <c r="Q452" s="332">
        <f t="shared" si="83"/>
        <v>0</v>
      </c>
      <c r="R452" s="332"/>
      <c r="S452" s="333"/>
      <c r="T452" s="307"/>
      <c r="U452" s="333"/>
      <c r="V452" s="333"/>
      <c r="W452" s="333"/>
      <c r="X452" s="333"/>
      <c r="Y452" s="333"/>
      <c r="Z452" s="333"/>
      <c r="AA452" s="333"/>
      <c r="AB452" s="333"/>
      <c r="AC452" s="333"/>
      <c r="AD452" s="333"/>
      <c r="AE452" s="333"/>
      <c r="AF452" s="333"/>
      <c r="AG452" s="333"/>
      <c r="AH452" s="333"/>
      <c r="AI452" s="333"/>
      <c r="AJ452" s="333"/>
      <c r="AK452" s="333"/>
      <c r="AL452" s="333"/>
      <c r="AM452" s="333"/>
      <c r="AN452" s="333"/>
      <c r="AO452" s="333"/>
    </row>
    <row r="453" spans="1:41" ht="15.75" customHeight="1">
      <c r="A453" s="298" t="s">
        <v>836</v>
      </c>
      <c r="B453" s="327">
        <f>('Pivot Table for Data Exchange'!$Q$402)*100</f>
        <v>0</v>
      </c>
      <c r="C453" s="327">
        <f>('Pivot Table for Data Exchange'!$Q$405)*100</f>
        <v>0</v>
      </c>
      <c r="D453" s="328">
        <f>SUM(E453:G453)</f>
        <v>0</v>
      </c>
      <c r="E453" s="327">
        <f>('Pivot Table for Data Exchange'!$Q$408)*100</f>
        <v>0</v>
      </c>
      <c r="F453" s="327">
        <f>('Pivot Table for Data Exchange'!$Q$411)*100</f>
        <v>0</v>
      </c>
      <c r="G453" s="335">
        <f>('Pivot Table for Data Exchange'!$Q$414)*100</f>
        <v>0</v>
      </c>
      <c r="H453" s="327">
        <f>('Pivot Table for Data Exchange'!$Q$417)*100</f>
        <v>0</v>
      </c>
      <c r="I453" s="298"/>
      <c r="J453" s="366"/>
      <c r="K453" s="366"/>
      <c r="L453" s="366"/>
      <c r="M453" s="366"/>
      <c r="N453" s="366"/>
      <c r="O453" s="366"/>
      <c r="P453" s="366"/>
      <c r="Q453" s="332">
        <f t="shared" si="83"/>
        <v>0</v>
      </c>
      <c r="R453" s="332"/>
      <c r="S453" s="333"/>
      <c r="T453" s="333"/>
      <c r="U453" s="333"/>
      <c r="V453" s="333"/>
      <c r="W453" s="333"/>
      <c r="X453" s="333"/>
      <c r="Y453" s="333"/>
      <c r="Z453" s="333"/>
      <c r="AA453" s="333"/>
      <c r="AB453" s="333"/>
      <c r="AC453" s="333"/>
      <c r="AD453" s="333"/>
      <c r="AE453" s="333"/>
      <c r="AF453" s="333"/>
      <c r="AG453" s="333"/>
      <c r="AH453" s="333"/>
      <c r="AI453" s="333"/>
      <c r="AJ453" s="333"/>
      <c r="AK453" s="333"/>
      <c r="AL453" s="333"/>
      <c r="AM453" s="333"/>
      <c r="AN453" s="333"/>
      <c r="AO453" s="333"/>
    </row>
    <row r="454" spans="1:41" ht="15.75" customHeight="1">
      <c r="B454" s="327"/>
      <c r="C454" s="327"/>
      <c r="D454" s="328"/>
      <c r="E454" s="327"/>
      <c r="F454" s="327"/>
      <c r="G454" s="335"/>
      <c r="H454" s="327"/>
      <c r="I454" s="298"/>
      <c r="J454" s="366"/>
      <c r="K454" s="366"/>
      <c r="L454" s="366"/>
      <c r="M454" s="366"/>
      <c r="N454" s="366"/>
      <c r="O454" s="366"/>
      <c r="P454" s="366"/>
      <c r="Q454" s="332">
        <f t="shared" si="83"/>
        <v>0</v>
      </c>
      <c r="R454" s="332"/>
      <c r="S454" s="333"/>
      <c r="T454" s="333"/>
      <c r="U454" s="333"/>
      <c r="V454" s="333"/>
      <c r="W454" s="333"/>
      <c r="X454" s="333"/>
      <c r="Y454" s="333"/>
      <c r="Z454" s="333"/>
      <c r="AA454" s="333"/>
      <c r="AB454" s="333"/>
      <c r="AC454" s="333"/>
      <c r="AD454" s="333"/>
      <c r="AE454" s="333"/>
      <c r="AF454" s="333"/>
      <c r="AG454" s="333"/>
      <c r="AH454" s="333"/>
      <c r="AI454" s="333"/>
      <c r="AJ454" s="333"/>
      <c r="AK454" s="333"/>
      <c r="AL454" s="333"/>
      <c r="AM454" s="333"/>
      <c r="AN454" s="333"/>
      <c r="AO454" s="333"/>
    </row>
    <row r="455" spans="1:41" ht="15.75" customHeight="1">
      <c r="A455" s="298" t="s">
        <v>837</v>
      </c>
      <c r="B455" s="327">
        <f>('Pivot Table for Data Exchange'!$Q$438)*100</f>
        <v>0</v>
      </c>
      <c r="C455" s="327">
        <f>('Pivot Table for Data Exchange'!$Q$441)*100</f>
        <v>0</v>
      </c>
      <c r="D455" s="328">
        <f>SUM(E455:G455)</f>
        <v>0</v>
      </c>
      <c r="E455" s="327">
        <f>('Pivot Table for Data Exchange'!$Q$444)*100</f>
        <v>0</v>
      </c>
      <c r="F455" s="327">
        <f>('Pivot Table for Data Exchange'!$Q$447)*100</f>
        <v>0</v>
      </c>
      <c r="G455" s="335">
        <f>('Pivot Table for Data Exchange'!$Q$450)*100</f>
        <v>0</v>
      </c>
      <c r="H455" s="327">
        <f>('Pivot Table for Data Exchange'!$Q$453)*100</f>
        <v>0</v>
      </c>
      <c r="I455" s="298"/>
      <c r="J455" s="366"/>
      <c r="K455" s="366"/>
      <c r="L455" s="366"/>
      <c r="M455" s="366"/>
      <c r="N455" s="366"/>
      <c r="O455" s="366"/>
      <c r="P455" s="366"/>
      <c r="Q455" s="332">
        <f t="shared" si="83"/>
        <v>0</v>
      </c>
      <c r="R455" s="332"/>
      <c r="S455" s="333"/>
      <c r="T455" s="333"/>
      <c r="U455" s="333"/>
      <c r="V455" s="333"/>
      <c r="W455" s="333"/>
      <c r="X455" s="333"/>
      <c r="Y455" s="333"/>
      <c r="Z455" s="333"/>
      <c r="AA455" s="333"/>
      <c r="AB455" s="333"/>
      <c r="AC455" s="333"/>
      <c r="AD455" s="333"/>
      <c r="AE455" s="333"/>
      <c r="AF455" s="333"/>
      <c r="AG455" s="333"/>
      <c r="AH455" s="333"/>
      <c r="AI455" s="333"/>
      <c r="AJ455" s="333"/>
      <c r="AK455" s="333"/>
      <c r="AL455" s="333"/>
      <c r="AM455" s="333"/>
      <c r="AN455" s="333"/>
      <c r="AO455" s="333"/>
    </row>
    <row r="456" spans="1:41" ht="15.75" customHeight="1">
      <c r="A456" s="298" t="s">
        <v>838</v>
      </c>
      <c r="B456" s="327">
        <f>('Pivot Table for Data Exchange'!$Q$474)*100</f>
        <v>0</v>
      </c>
      <c r="C456" s="327">
        <f>('Pivot Table for Data Exchange'!$Q$477)*100</f>
        <v>0</v>
      </c>
      <c r="D456" s="328">
        <f>SUM(E456:G456)</f>
        <v>0</v>
      </c>
      <c r="E456" s="327">
        <f>('Pivot Table for Data Exchange'!$Q$480)*100</f>
        <v>0</v>
      </c>
      <c r="F456" s="327">
        <f>('Pivot Table for Data Exchange'!$Q$483)*100</f>
        <v>0</v>
      </c>
      <c r="G456" s="335">
        <f>('Pivot Table for Data Exchange'!$Q$486)*100</f>
        <v>0</v>
      </c>
      <c r="H456" s="327">
        <f>('Pivot Table for Data Exchange'!$Q$489)*100</f>
        <v>0</v>
      </c>
      <c r="I456" s="298"/>
      <c r="J456" s="366"/>
      <c r="K456" s="366"/>
      <c r="L456" s="366"/>
      <c r="M456" s="366"/>
      <c r="N456" s="366"/>
      <c r="O456" s="366"/>
      <c r="P456" s="366"/>
      <c r="Q456" s="332">
        <f t="shared" si="83"/>
        <v>0</v>
      </c>
      <c r="R456" s="332"/>
      <c r="S456" s="333"/>
      <c r="T456" s="333"/>
      <c r="U456" s="333"/>
      <c r="V456" s="333"/>
      <c r="W456" s="333"/>
      <c r="X456" s="333"/>
      <c r="Y456" s="333"/>
      <c r="Z456" s="333"/>
      <c r="AA456" s="333"/>
      <c r="AB456" s="333"/>
      <c r="AC456" s="333"/>
      <c r="AD456" s="333"/>
      <c r="AE456" s="333"/>
      <c r="AF456" s="333"/>
      <c r="AG456" s="333"/>
      <c r="AH456" s="333"/>
      <c r="AI456" s="333"/>
      <c r="AJ456" s="333"/>
      <c r="AK456" s="333"/>
      <c r="AL456" s="333"/>
      <c r="AM456" s="333"/>
      <c r="AN456" s="333"/>
      <c r="AO456" s="333"/>
    </row>
    <row r="457" spans="1:41" ht="15.75" customHeight="1">
      <c r="A457" s="298" t="s">
        <v>839</v>
      </c>
      <c r="B457" s="327">
        <f>('Pivot Table for Data Exchange'!$Q$510)*100</f>
        <v>0</v>
      </c>
      <c r="C457" s="327">
        <f>('Pivot Table for Data Exchange'!$Q$513)*100</f>
        <v>0</v>
      </c>
      <c r="D457" s="328">
        <f t="shared" ref="D457" si="92">SUM(E457:G457)</f>
        <v>0</v>
      </c>
      <c r="E457" s="327">
        <f>('Pivot Table for Data Exchange'!$Q$516)*100</f>
        <v>0</v>
      </c>
      <c r="F457" s="327">
        <f>('Pivot Table for Data Exchange'!$Q$519)*100</f>
        <v>0</v>
      </c>
      <c r="G457" s="335">
        <f>('Pivot Table for Data Exchange'!$Q$522)*100</f>
        <v>0</v>
      </c>
      <c r="H457" s="327">
        <f>('Pivot Table for Data Exchange'!$Q$525)*100</f>
        <v>0</v>
      </c>
      <c r="I457" s="298"/>
      <c r="J457" s="366"/>
      <c r="K457" s="366"/>
      <c r="L457" s="366"/>
      <c r="M457" s="366"/>
      <c r="N457" s="366"/>
      <c r="O457" s="366"/>
      <c r="P457" s="366"/>
      <c r="Q457" s="332">
        <f t="shared" si="83"/>
        <v>0</v>
      </c>
      <c r="R457" s="332"/>
      <c r="S457" s="333"/>
      <c r="T457" s="333"/>
      <c r="U457" s="333"/>
      <c r="V457" s="333"/>
      <c r="W457" s="333"/>
      <c r="X457" s="333"/>
      <c r="Y457" s="333"/>
      <c r="Z457" s="333"/>
      <c r="AA457" s="333"/>
      <c r="AB457" s="333"/>
      <c r="AC457" s="333"/>
      <c r="AD457" s="333"/>
      <c r="AE457" s="333"/>
      <c r="AF457" s="333"/>
      <c r="AG457" s="333"/>
      <c r="AH457" s="333"/>
      <c r="AI457" s="333"/>
      <c r="AJ457" s="333"/>
      <c r="AK457" s="333"/>
      <c r="AL457" s="333"/>
      <c r="AM457" s="333"/>
      <c r="AN457" s="333"/>
      <c r="AO457" s="333"/>
    </row>
    <row r="458" spans="1:41" ht="15.75" customHeight="1">
      <c r="A458" s="304" t="s">
        <v>840</v>
      </c>
      <c r="B458" s="340">
        <f>('Pivot Table for Data Exchange'!$Q$546)*100</f>
        <v>0</v>
      </c>
      <c r="C458" s="340">
        <f>('Pivot Table for Data Exchange'!$Q$549)*100</f>
        <v>0</v>
      </c>
      <c r="D458" s="341">
        <f>SUM(E458:G458)</f>
        <v>0</v>
      </c>
      <c r="E458" s="340">
        <f>('Pivot Table for Data Exchange'!$Q$552)*100</f>
        <v>0</v>
      </c>
      <c r="F458" s="340">
        <f>('Pivot Table for Data Exchange'!$Q$555)*100</f>
        <v>0</v>
      </c>
      <c r="G458" s="342">
        <f>('Pivot Table for Data Exchange'!$Q$558)*100</f>
        <v>0</v>
      </c>
      <c r="H458" s="340">
        <f>('Pivot Table for Data Exchange'!$Q$561)*100</f>
        <v>0</v>
      </c>
      <c r="I458" s="298"/>
      <c r="J458" s="366"/>
      <c r="K458" s="366"/>
      <c r="L458" s="366"/>
      <c r="M458" s="366"/>
      <c r="N458" s="366"/>
      <c r="O458" s="366"/>
      <c r="P458" s="366"/>
      <c r="Q458" s="332">
        <f>SUM(B458,C458,D458,H458)</f>
        <v>0</v>
      </c>
      <c r="R458" s="332"/>
      <c r="S458" s="333"/>
      <c r="T458" s="333"/>
      <c r="U458" s="333"/>
      <c r="V458" s="333"/>
      <c r="W458" s="333"/>
      <c r="X458" s="333"/>
      <c r="Y458" s="333"/>
      <c r="Z458" s="333"/>
      <c r="AA458" s="333"/>
      <c r="AB458" s="333"/>
      <c r="AC458" s="333"/>
      <c r="AD458" s="333"/>
      <c r="AE458" s="333"/>
      <c r="AF458" s="333"/>
      <c r="AG458" s="333"/>
      <c r="AH458" s="333"/>
      <c r="AI458" s="333"/>
      <c r="AJ458" s="333"/>
      <c r="AK458" s="333"/>
      <c r="AL458" s="333"/>
      <c r="AM458" s="333"/>
      <c r="AN458" s="333"/>
      <c r="AO458" s="333"/>
    </row>
    <row r="459" spans="1:41" s="345" customFormat="1" ht="12.75" customHeight="1">
      <c r="A459" s="346" t="s">
        <v>866</v>
      </c>
      <c r="B459" s="347"/>
      <c r="C459" s="347"/>
      <c r="D459" s="348"/>
      <c r="E459" s="347"/>
      <c r="F459" s="348"/>
      <c r="G459" s="348"/>
      <c r="H459" s="347"/>
      <c r="I459" s="356"/>
      <c r="J459" s="347"/>
      <c r="K459" s="347"/>
      <c r="L459" s="348"/>
      <c r="M459" s="347"/>
      <c r="N459" s="348"/>
      <c r="O459" s="348"/>
      <c r="P459" s="347"/>
      <c r="Q459" s="367"/>
      <c r="R459" s="367"/>
      <c r="S459" s="349"/>
      <c r="T459" s="349"/>
      <c r="U459" s="349"/>
      <c r="V459" s="349"/>
      <c r="W459" s="349"/>
      <c r="X459" s="349"/>
      <c r="Y459" s="349"/>
      <c r="Z459" s="349"/>
      <c r="AA459" s="349"/>
      <c r="AB459" s="349"/>
      <c r="AC459" s="349"/>
      <c r="AD459" s="349"/>
      <c r="AE459" s="349"/>
      <c r="AF459" s="349"/>
      <c r="AG459" s="349"/>
      <c r="AH459" s="349"/>
      <c r="AI459" s="349"/>
      <c r="AJ459" s="349"/>
      <c r="AK459" s="349"/>
      <c r="AL459" s="349"/>
      <c r="AM459" s="349"/>
      <c r="AN459" s="349"/>
      <c r="AO459" s="349"/>
    </row>
    <row r="460" spans="1:41" s="345" customFormat="1" ht="13.5" customHeight="1">
      <c r="A460" s="356"/>
      <c r="B460" s="347"/>
      <c r="C460" s="347"/>
      <c r="D460" s="348"/>
      <c r="E460" s="347"/>
      <c r="F460" s="348"/>
      <c r="G460" s="348"/>
      <c r="H460" s="347"/>
      <c r="I460" s="356"/>
      <c r="J460" s="347"/>
      <c r="K460" s="347"/>
      <c r="L460" s="348"/>
      <c r="M460" s="347"/>
      <c r="N460" s="348"/>
      <c r="O460" s="348"/>
      <c r="P460" s="347"/>
      <c r="Q460" s="367"/>
      <c r="R460" s="367"/>
      <c r="S460" s="349"/>
      <c r="T460" s="349"/>
      <c r="U460" s="349"/>
      <c r="V460" s="349"/>
      <c r="W460" s="349"/>
      <c r="X460" s="349"/>
      <c r="Y460" s="349"/>
      <c r="Z460" s="349"/>
      <c r="AA460" s="349"/>
      <c r="AB460" s="349"/>
      <c r="AC460" s="349"/>
      <c r="AD460" s="349"/>
      <c r="AE460" s="349"/>
      <c r="AF460" s="349"/>
      <c r="AG460" s="349"/>
      <c r="AH460" s="349"/>
      <c r="AI460" s="349"/>
      <c r="AJ460" s="349"/>
      <c r="AK460" s="349"/>
      <c r="AL460" s="349"/>
      <c r="AM460" s="349"/>
      <c r="AN460" s="349"/>
      <c r="AO460" s="349"/>
    </row>
    <row r="461" spans="1:41" s="345" customFormat="1" ht="13.5" customHeight="1">
      <c r="A461" s="356"/>
      <c r="B461" s="357"/>
      <c r="H461" s="351" t="s">
        <v>980</v>
      </c>
      <c r="I461" s="356"/>
      <c r="P461" s="358"/>
      <c r="Q461" s="375"/>
      <c r="R461" s="368"/>
    </row>
    <row r="462" spans="1:41" s="345" customFormat="1" ht="13.5" customHeight="1">
      <c r="A462" s="356"/>
      <c r="I462" s="356"/>
      <c r="Q462" s="375"/>
      <c r="R462" s="368"/>
    </row>
    <row r="463" spans="1:41" s="345" customFormat="1" ht="13.5" customHeight="1">
      <c r="A463" s="356"/>
      <c r="I463" s="356"/>
      <c r="Q463" s="375"/>
      <c r="R463" s="368"/>
    </row>
    <row r="465" spans="8:18" s="376" customFormat="1">
      <c r="H465" s="298"/>
      <c r="I465" s="364"/>
      <c r="J465" s="298"/>
      <c r="K465" s="298"/>
      <c r="L465" s="298"/>
      <c r="M465" s="298"/>
      <c r="N465" s="298"/>
      <c r="O465" s="298"/>
      <c r="P465" s="298"/>
      <c r="Q465" s="302"/>
      <c r="R465" s="308"/>
    </row>
    <row r="466" spans="8:18" s="376" customFormat="1">
      <c r="H466" s="298"/>
      <c r="I466" s="364"/>
      <c r="J466" s="298"/>
      <c r="K466" s="298"/>
      <c r="L466" s="298"/>
      <c r="M466" s="298"/>
      <c r="N466" s="298"/>
      <c r="O466" s="298"/>
      <c r="P466" s="298"/>
      <c r="Q466" s="302"/>
      <c r="R466" s="308"/>
    </row>
    <row r="467" spans="8:18" s="376" customFormat="1">
      <c r="H467" s="298"/>
      <c r="I467" s="364"/>
      <c r="J467" s="298"/>
      <c r="K467" s="298"/>
      <c r="L467" s="298"/>
      <c r="M467" s="298"/>
      <c r="N467" s="298"/>
      <c r="O467" s="298"/>
      <c r="P467" s="298"/>
      <c r="Q467" s="302"/>
      <c r="R467" s="308"/>
    </row>
    <row r="468" spans="8:18" s="376" customFormat="1">
      <c r="H468" s="298"/>
      <c r="I468" s="364"/>
      <c r="J468" s="298"/>
      <c r="K468" s="298"/>
      <c r="L468" s="298"/>
      <c r="M468" s="298"/>
      <c r="N468" s="298"/>
      <c r="O468" s="298"/>
      <c r="P468" s="298"/>
      <c r="Q468" s="302"/>
      <c r="R468" s="308"/>
    </row>
    <row r="469" spans="8:18" s="376" customFormat="1">
      <c r="H469" s="298"/>
      <c r="I469" s="364"/>
      <c r="J469" s="298"/>
      <c r="K469" s="298"/>
      <c r="L469" s="298"/>
      <c r="M469" s="298"/>
      <c r="N469" s="298"/>
      <c r="O469" s="298"/>
      <c r="P469" s="298"/>
      <c r="Q469" s="302"/>
      <c r="R469" s="308"/>
    </row>
    <row r="470" spans="8:18" s="376" customFormat="1">
      <c r="H470" s="298"/>
      <c r="I470" s="364"/>
      <c r="J470" s="298"/>
      <c r="K470" s="298"/>
      <c r="L470" s="298"/>
      <c r="M470" s="298"/>
      <c r="N470" s="298"/>
      <c r="O470" s="298"/>
      <c r="P470" s="298"/>
      <c r="Q470" s="302"/>
      <c r="R470" s="308"/>
    </row>
    <row r="471" spans="8:18" s="376" customFormat="1">
      <c r="H471" s="298"/>
      <c r="I471" s="364"/>
      <c r="J471" s="298"/>
      <c r="K471" s="298"/>
      <c r="L471" s="298"/>
      <c r="M471" s="298"/>
      <c r="N471" s="298"/>
      <c r="O471" s="298"/>
      <c r="P471" s="298"/>
      <c r="Q471" s="302"/>
      <c r="R471" s="308"/>
    </row>
    <row r="472" spans="8:18" s="376" customFormat="1">
      <c r="H472" s="298"/>
      <c r="I472" s="364"/>
      <c r="J472" s="298"/>
      <c r="K472" s="298"/>
      <c r="L472" s="298"/>
      <c r="M472" s="298"/>
      <c r="N472" s="298"/>
      <c r="O472" s="298"/>
      <c r="P472" s="298"/>
      <c r="Q472" s="302"/>
      <c r="R472" s="308"/>
    </row>
    <row r="473" spans="8:18" s="376" customFormat="1">
      <c r="H473" s="298"/>
      <c r="I473" s="364"/>
      <c r="J473" s="298"/>
      <c r="K473" s="298"/>
      <c r="L473" s="298"/>
      <c r="M473" s="298"/>
      <c r="N473" s="298"/>
      <c r="O473" s="298"/>
      <c r="P473" s="298"/>
      <c r="Q473" s="302"/>
      <c r="R473" s="308"/>
    </row>
    <row r="474" spans="8:18" s="376" customFormat="1">
      <c r="H474" s="298"/>
      <c r="I474" s="364"/>
      <c r="J474" s="298"/>
      <c r="K474" s="298"/>
      <c r="L474" s="298"/>
      <c r="M474" s="298"/>
      <c r="N474" s="298"/>
      <c r="O474" s="298"/>
      <c r="P474" s="298"/>
      <c r="Q474" s="302"/>
      <c r="R474" s="308"/>
    </row>
    <row r="475" spans="8:18" s="376" customFormat="1">
      <c r="H475" s="298"/>
      <c r="I475" s="364"/>
      <c r="J475" s="298"/>
      <c r="K475" s="298"/>
      <c r="L475" s="298"/>
      <c r="M475" s="298"/>
      <c r="N475" s="298"/>
      <c r="O475" s="298"/>
      <c r="P475" s="298"/>
      <c r="Q475" s="302"/>
      <c r="R475" s="308"/>
    </row>
    <row r="476" spans="8:18" s="376" customFormat="1">
      <c r="H476" s="298"/>
      <c r="I476" s="364"/>
      <c r="J476" s="298"/>
      <c r="K476" s="298"/>
      <c r="L476" s="298"/>
      <c r="M476" s="298"/>
      <c r="N476" s="298"/>
      <c r="O476" s="298"/>
      <c r="P476" s="298"/>
      <c r="Q476" s="302"/>
      <c r="R476" s="308"/>
    </row>
    <row r="477" spans="8:18" s="376" customFormat="1">
      <c r="H477" s="298"/>
      <c r="I477" s="364"/>
      <c r="J477" s="298"/>
      <c r="K477" s="298"/>
      <c r="L477" s="298"/>
      <c r="M477" s="298"/>
      <c r="N477" s="298"/>
      <c r="O477" s="298"/>
      <c r="P477" s="298"/>
      <c r="Q477" s="302"/>
      <c r="R477" s="308"/>
    </row>
    <row r="478" spans="8:18" s="376" customFormat="1">
      <c r="H478" s="298"/>
      <c r="I478" s="364"/>
      <c r="J478" s="298"/>
      <c r="K478" s="298"/>
      <c r="L478" s="298"/>
      <c r="M478" s="298"/>
      <c r="N478" s="298"/>
      <c r="O478" s="298"/>
      <c r="P478" s="298"/>
      <c r="Q478" s="302"/>
      <c r="R478" s="308"/>
    </row>
    <row r="479" spans="8:18" s="376" customFormat="1">
      <c r="H479" s="298"/>
      <c r="I479" s="364"/>
      <c r="J479" s="298"/>
      <c r="K479" s="298"/>
      <c r="L479" s="298"/>
      <c r="M479" s="298"/>
      <c r="N479" s="298"/>
      <c r="O479" s="298"/>
      <c r="P479" s="298"/>
      <c r="Q479" s="302"/>
      <c r="R479" s="308"/>
    </row>
    <row r="480" spans="8:18" s="376" customFormat="1">
      <c r="H480" s="298"/>
      <c r="I480" s="364"/>
      <c r="J480" s="298"/>
      <c r="K480" s="298"/>
      <c r="L480" s="298"/>
      <c r="M480" s="298"/>
      <c r="N480" s="298"/>
      <c r="O480" s="298"/>
      <c r="P480" s="298"/>
      <c r="Q480" s="302"/>
      <c r="R480" s="308"/>
    </row>
    <row r="481" spans="8:18" s="376" customFormat="1">
      <c r="H481" s="298"/>
      <c r="I481" s="364"/>
      <c r="J481" s="298"/>
      <c r="K481" s="298"/>
      <c r="L481" s="298"/>
      <c r="M481" s="298"/>
      <c r="N481" s="298"/>
      <c r="O481" s="298"/>
      <c r="P481" s="298"/>
      <c r="Q481" s="302"/>
      <c r="R481" s="308"/>
    </row>
    <row r="482" spans="8:18" s="376" customFormat="1">
      <c r="H482" s="298"/>
      <c r="I482" s="364"/>
      <c r="J482" s="298"/>
      <c r="K482" s="298"/>
      <c r="L482" s="298"/>
      <c r="M482" s="298"/>
      <c r="N482" s="298"/>
      <c r="O482" s="298"/>
      <c r="P482" s="298"/>
      <c r="Q482" s="302"/>
      <c r="R482" s="308"/>
    </row>
    <row r="483" spans="8:18" s="376" customFormat="1">
      <c r="H483" s="298"/>
      <c r="I483" s="364"/>
      <c r="J483" s="298"/>
      <c r="K483" s="298"/>
      <c r="L483" s="298"/>
      <c r="M483" s="298"/>
      <c r="N483" s="298"/>
      <c r="O483" s="298"/>
      <c r="P483" s="298"/>
      <c r="Q483" s="302"/>
      <c r="R483" s="308"/>
    </row>
    <row r="484" spans="8:18" s="376" customFormat="1">
      <c r="H484" s="298"/>
      <c r="I484" s="364"/>
      <c r="J484" s="298"/>
      <c r="K484" s="298"/>
      <c r="L484" s="298"/>
      <c r="M484" s="298"/>
      <c r="N484" s="298"/>
      <c r="O484" s="298"/>
      <c r="P484" s="298"/>
      <c r="Q484" s="302"/>
      <c r="R484" s="308"/>
    </row>
    <row r="485" spans="8:18" s="376" customFormat="1">
      <c r="H485" s="298"/>
      <c r="I485" s="364"/>
      <c r="J485" s="298"/>
      <c r="K485" s="298"/>
      <c r="L485" s="298"/>
      <c r="M485" s="298"/>
      <c r="N485" s="298"/>
      <c r="O485" s="298"/>
      <c r="P485" s="298"/>
      <c r="Q485" s="302"/>
      <c r="R485" s="308"/>
    </row>
    <row r="486" spans="8:18" s="376" customFormat="1">
      <c r="H486" s="298"/>
      <c r="I486" s="364"/>
      <c r="J486" s="298"/>
      <c r="K486" s="298"/>
      <c r="L486" s="298"/>
      <c r="M486" s="298"/>
      <c r="N486" s="298"/>
      <c r="O486" s="298"/>
      <c r="P486" s="298"/>
      <c r="Q486" s="302"/>
      <c r="R486" s="308"/>
    </row>
    <row r="487" spans="8:18" s="376" customFormat="1">
      <c r="H487" s="298"/>
      <c r="I487" s="364"/>
      <c r="J487" s="298"/>
      <c r="K487" s="298"/>
      <c r="L487" s="298"/>
      <c r="M487" s="298"/>
      <c r="N487" s="298"/>
      <c r="O487" s="298"/>
      <c r="P487" s="298"/>
      <c r="Q487" s="302"/>
      <c r="R487" s="308"/>
    </row>
    <row r="488" spans="8:18" s="376" customFormat="1">
      <c r="H488" s="298"/>
      <c r="I488" s="364"/>
      <c r="J488" s="298"/>
      <c r="K488" s="298"/>
      <c r="L488" s="298"/>
      <c r="M488" s="298"/>
      <c r="N488" s="298"/>
      <c r="O488" s="298"/>
      <c r="P488" s="298"/>
      <c r="Q488" s="302"/>
      <c r="R488" s="308"/>
    </row>
    <row r="489" spans="8:18" s="376" customFormat="1">
      <c r="H489" s="298"/>
      <c r="I489" s="364"/>
      <c r="J489" s="298"/>
      <c r="K489" s="298"/>
      <c r="L489" s="298"/>
      <c r="M489" s="298"/>
      <c r="N489" s="298"/>
      <c r="O489" s="298"/>
      <c r="P489" s="298"/>
      <c r="Q489" s="302"/>
      <c r="R489" s="308"/>
    </row>
    <row r="490" spans="8:18" s="376" customFormat="1">
      <c r="H490" s="298"/>
      <c r="I490" s="364"/>
      <c r="J490" s="298"/>
      <c r="K490" s="298"/>
      <c r="L490" s="298"/>
      <c r="M490" s="298"/>
      <c r="N490" s="298"/>
      <c r="O490" s="298"/>
      <c r="P490" s="298"/>
      <c r="Q490" s="302"/>
      <c r="R490" s="308"/>
    </row>
    <row r="491" spans="8:18" s="376" customFormat="1">
      <c r="H491" s="298"/>
      <c r="I491" s="364"/>
      <c r="J491" s="298"/>
      <c r="K491" s="298"/>
      <c r="L491" s="298"/>
      <c r="M491" s="298"/>
      <c r="N491" s="298"/>
      <c r="O491" s="298"/>
      <c r="P491" s="298"/>
      <c r="Q491" s="302"/>
      <c r="R491" s="308"/>
    </row>
    <row r="492" spans="8:18" s="376" customFormat="1">
      <c r="H492" s="298"/>
      <c r="I492" s="364"/>
      <c r="J492" s="298"/>
      <c r="K492" s="298"/>
      <c r="L492" s="298"/>
      <c r="M492" s="298"/>
      <c r="N492" s="298"/>
      <c r="O492" s="298"/>
      <c r="P492" s="298"/>
      <c r="Q492" s="302"/>
      <c r="R492" s="308"/>
    </row>
    <row r="493" spans="8:18" s="376" customFormat="1">
      <c r="H493" s="298"/>
      <c r="I493" s="364"/>
      <c r="J493" s="298"/>
      <c r="K493" s="298"/>
      <c r="L493" s="298"/>
      <c r="M493" s="298"/>
      <c r="N493" s="298"/>
      <c r="O493" s="298"/>
      <c r="P493" s="298"/>
      <c r="Q493" s="302"/>
      <c r="R493" s="308"/>
    </row>
    <row r="494" spans="8:18" s="376" customFormat="1">
      <c r="H494" s="298"/>
      <c r="I494" s="364"/>
      <c r="J494" s="298"/>
      <c r="K494" s="298"/>
      <c r="L494" s="298"/>
      <c r="M494" s="298"/>
      <c r="N494" s="298"/>
      <c r="O494" s="298"/>
      <c r="P494" s="298"/>
      <c r="Q494" s="302"/>
      <c r="R494" s="308"/>
    </row>
    <row r="495" spans="8:18" s="376" customFormat="1">
      <c r="H495" s="298"/>
      <c r="I495" s="364"/>
      <c r="J495" s="298"/>
      <c r="K495" s="298"/>
      <c r="L495" s="298"/>
      <c r="M495" s="298"/>
      <c r="N495" s="298"/>
      <c r="O495" s="298"/>
      <c r="P495" s="298"/>
      <c r="Q495" s="302"/>
      <c r="R495" s="308"/>
    </row>
    <row r="496" spans="8:18" s="376" customFormat="1">
      <c r="H496" s="298"/>
      <c r="I496" s="364"/>
      <c r="J496" s="298"/>
      <c r="K496" s="298"/>
      <c r="L496" s="298"/>
      <c r="M496" s="298"/>
      <c r="N496" s="298"/>
      <c r="O496" s="298"/>
      <c r="P496" s="298"/>
      <c r="Q496" s="302"/>
      <c r="R496" s="308"/>
    </row>
    <row r="497" spans="8:18" s="376" customFormat="1">
      <c r="H497" s="298"/>
      <c r="I497" s="364"/>
      <c r="J497" s="298"/>
      <c r="K497" s="298"/>
      <c r="L497" s="298"/>
      <c r="M497" s="298"/>
      <c r="N497" s="298"/>
      <c r="O497" s="298"/>
      <c r="P497" s="298"/>
      <c r="Q497" s="302"/>
      <c r="R497" s="308"/>
    </row>
    <row r="498" spans="8:18" s="376" customFormat="1">
      <c r="H498" s="298"/>
      <c r="I498" s="364"/>
      <c r="J498" s="298"/>
      <c r="K498" s="298"/>
      <c r="L498" s="298"/>
      <c r="M498" s="298"/>
      <c r="N498" s="298"/>
      <c r="O498" s="298"/>
      <c r="P498" s="298"/>
      <c r="Q498" s="302"/>
      <c r="R498" s="308"/>
    </row>
    <row r="499" spans="8:18" s="376" customFormat="1">
      <c r="H499" s="298"/>
      <c r="I499" s="364"/>
      <c r="J499" s="298"/>
      <c r="K499" s="298"/>
      <c r="L499" s="298"/>
      <c r="M499" s="298"/>
      <c r="N499" s="298"/>
      <c r="O499" s="298"/>
      <c r="P499" s="298"/>
      <c r="Q499" s="302"/>
      <c r="R499" s="308"/>
    </row>
    <row r="500" spans="8:18" s="376" customFormat="1">
      <c r="H500" s="298"/>
      <c r="I500" s="364"/>
      <c r="J500" s="298"/>
      <c r="K500" s="298"/>
      <c r="L500" s="298"/>
      <c r="M500" s="298"/>
      <c r="N500" s="298"/>
      <c r="O500" s="298"/>
      <c r="P500" s="298"/>
      <c r="Q500" s="302"/>
      <c r="R500" s="308"/>
    </row>
    <row r="501" spans="8:18" s="376" customFormat="1">
      <c r="H501" s="298"/>
      <c r="I501" s="364"/>
      <c r="J501" s="298"/>
      <c r="K501" s="298"/>
      <c r="L501" s="298"/>
      <c r="M501" s="298"/>
      <c r="N501" s="298"/>
      <c r="O501" s="298"/>
      <c r="P501" s="298"/>
      <c r="Q501" s="302"/>
      <c r="R501" s="308"/>
    </row>
    <row r="502" spans="8:18" s="376" customFormat="1">
      <c r="H502" s="298"/>
      <c r="I502" s="364"/>
      <c r="J502" s="298"/>
      <c r="K502" s="298"/>
      <c r="L502" s="298"/>
      <c r="M502" s="298"/>
      <c r="N502" s="298"/>
      <c r="O502" s="298"/>
      <c r="P502" s="298"/>
      <c r="Q502" s="302"/>
      <c r="R502" s="308"/>
    </row>
    <row r="503" spans="8:18" s="376" customFormat="1">
      <c r="H503" s="298"/>
      <c r="I503" s="364"/>
      <c r="J503" s="298"/>
      <c r="K503" s="298"/>
      <c r="L503" s="298"/>
      <c r="M503" s="298"/>
      <c r="N503" s="298"/>
      <c r="O503" s="298"/>
      <c r="P503" s="298"/>
      <c r="Q503" s="302"/>
      <c r="R503" s="308"/>
    </row>
    <row r="504" spans="8:18" s="376" customFormat="1">
      <c r="H504" s="298"/>
      <c r="I504" s="364"/>
      <c r="J504" s="298"/>
      <c r="K504" s="298"/>
      <c r="L504" s="298"/>
      <c r="M504" s="298"/>
      <c r="N504" s="298"/>
      <c r="O504" s="298"/>
      <c r="P504" s="298"/>
      <c r="Q504" s="302"/>
      <c r="R504" s="308"/>
    </row>
    <row r="505" spans="8:18" s="376" customFormat="1">
      <c r="H505" s="298"/>
      <c r="I505" s="364"/>
      <c r="J505" s="298"/>
      <c r="K505" s="298"/>
      <c r="L505" s="298"/>
      <c r="M505" s="298"/>
      <c r="N505" s="298"/>
      <c r="O505" s="298"/>
      <c r="P505" s="298"/>
      <c r="Q505" s="302"/>
      <c r="R505" s="308"/>
    </row>
    <row r="506" spans="8:18" s="376" customFormat="1">
      <c r="H506" s="298"/>
      <c r="I506" s="364"/>
      <c r="J506" s="298"/>
      <c r="K506" s="298"/>
      <c r="L506" s="298"/>
      <c r="M506" s="298"/>
      <c r="N506" s="298"/>
      <c r="O506" s="298"/>
      <c r="P506" s="298"/>
      <c r="Q506" s="302"/>
      <c r="R506" s="308"/>
    </row>
    <row r="507" spans="8:18" s="376" customFormat="1">
      <c r="H507" s="298"/>
      <c r="I507" s="364"/>
      <c r="J507" s="298"/>
      <c r="K507" s="298"/>
      <c r="L507" s="298"/>
      <c r="M507" s="298"/>
      <c r="N507" s="298"/>
      <c r="O507" s="298"/>
      <c r="P507" s="298"/>
      <c r="Q507" s="302"/>
      <c r="R507" s="308"/>
    </row>
    <row r="508" spans="8:18" s="376" customFormat="1">
      <c r="H508" s="298"/>
      <c r="I508" s="364"/>
      <c r="J508" s="298"/>
      <c r="K508" s="298"/>
      <c r="L508" s="298"/>
      <c r="M508" s="298"/>
      <c r="N508" s="298"/>
      <c r="O508" s="298"/>
      <c r="P508" s="298"/>
      <c r="Q508" s="302"/>
      <c r="R508" s="308"/>
    </row>
    <row r="509" spans="8:18" s="376" customFormat="1">
      <c r="H509" s="298"/>
      <c r="I509" s="364"/>
      <c r="J509" s="298"/>
      <c r="K509" s="298"/>
      <c r="L509" s="298"/>
      <c r="M509" s="298"/>
      <c r="N509" s="298"/>
      <c r="O509" s="298"/>
      <c r="P509" s="298"/>
      <c r="Q509" s="302"/>
      <c r="R509" s="308"/>
    </row>
    <row r="510" spans="8:18" s="376" customFormat="1">
      <c r="H510" s="298"/>
      <c r="I510" s="364"/>
      <c r="J510" s="298"/>
      <c r="K510" s="298"/>
      <c r="L510" s="298"/>
      <c r="M510" s="298"/>
      <c r="N510" s="298"/>
      <c r="O510" s="298"/>
      <c r="P510" s="298"/>
      <c r="Q510" s="302"/>
      <c r="R510" s="308"/>
    </row>
    <row r="511" spans="8:18" s="376" customFormat="1">
      <c r="H511" s="298"/>
      <c r="I511" s="364"/>
      <c r="J511" s="298"/>
      <c r="K511" s="298"/>
      <c r="L511" s="298"/>
      <c r="M511" s="298"/>
      <c r="N511" s="298"/>
      <c r="O511" s="298"/>
      <c r="P511" s="298"/>
      <c r="Q511" s="302"/>
      <c r="R511" s="308"/>
    </row>
    <row r="512" spans="8:18" s="376" customFormat="1">
      <c r="H512" s="298"/>
      <c r="I512" s="364"/>
      <c r="J512" s="298"/>
      <c r="K512" s="298"/>
      <c r="L512" s="298"/>
      <c r="M512" s="298"/>
      <c r="N512" s="298"/>
      <c r="O512" s="298"/>
      <c r="P512" s="298"/>
      <c r="Q512" s="302"/>
      <c r="R512" s="308"/>
    </row>
    <row r="513" spans="8:18" s="376" customFormat="1">
      <c r="H513" s="298"/>
      <c r="I513" s="364"/>
      <c r="J513" s="298"/>
      <c r="K513" s="298"/>
      <c r="L513" s="298"/>
      <c r="M513" s="298"/>
      <c r="N513" s="298"/>
      <c r="O513" s="298"/>
      <c r="P513" s="298"/>
      <c r="Q513" s="302"/>
      <c r="R513" s="308"/>
    </row>
    <row r="514" spans="8:18" s="376" customFormat="1">
      <c r="H514" s="298"/>
      <c r="I514" s="364"/>
      <c r="J514" s="298"/>
      <c r="K514" s="298"/>
      <c r="L514" s="298"/>
      <c r="M514" s="298"/>
      <c r="N514" s="298"/>
      <c r="O514" s="298"/>
      <c r="P514" s="298"/>
      <c r="Q514" s="302"/>
      <c r="R514" s="308"/>
    </row>
    <row r="515" spans="8:18" s="376" customFormat="1">
      <c r="H515" s="298"/>
      <c r="I515" s="364"/>
      <c r="J515" s="298"/>
      <c r="K515" s="298"/>
      <c r="L515" s="298"/>
      <c r="M515" s="298"/>
      <c r="N515" s="298"/>
      <c r="O515" s="298"/>
      <c r="P515" s="298"/>
      <c r="Q515" s="302"/>
      <c r="R515" s="308"/>
    </row>
    <row r="516" spans="8:18" s="376" customFormat="1">
      <c r="H516" s="298"/>
      <c r="I516" s="364"/>
      <c r="J516" s="298"/>
      <c r="K516" s="298"/>
      <c r="L516" s="298"/>
      <c r="M516" s="298"/>
      <c r="N516" s="298"/>
      <c r="O516" s="298"/>
      <c r="P516" s="298"/>
      <c r="Q516" s="302"/>
      <c r="R516" s="308"/>
    </row>
    <row r="517" spans="8:18" s="376" customFormat="1">
      <c r="H517" s="298"/>
      <c r="I517" s="364"/>
      <c r="J517" s="298"/>
      <c r="K517" s="298"/>
      <c r="L517" s="298"/>
      <c r="M517" s="298"/>
      <c r="N517" s="298"/>
      <c r="O517" s="298"/>
      <c r="P517" s="298"/>
      <c r="Q517" s="302"/>
      <c r="R517" s="308"/>
    </row>
    <row r="518" spans="8:18" s="376" customFormat="1">
      <c r="H518" s="298"/>
      <c r="I518" s="364"/>
      <c r="J518" s="298"/>
      <c r="K518" s="298"/>
      <c r="L518" s="298"/>
      <c r="M518" s="298"/>
      <c r="N518" s="298"/>
      <c r="O518" s="298"/>
      <c r="P518" s="298"/>
      <c r="Q518" s="302"/>
      <c r="R518" s="308"/>
    </row>
    <row r="519" spans="8:18" s="376" customFormat="1">
      <c r="H519" s="298"/>
      <c r="I519" s="364"/>
      <c r="J519" s="298"/>
      <c r="K519" s="298"/>
      <c r="L519" s="298"/>
      <c r="M519" s="298"/>
      <c r="N519" s="298"/>
      <c r="O519" s="298"/>
      <c r="P519" s="298"/>
      <c r="Q519" s="302"/>
      <c r="R519" s="308"/>
    </row>
    <row r="520" spans="8:18" s="376" customFormat="1">
      <c r="H520" s="298"/>
      <c r="I520" s="364"/>
      <c r="J520" s="298"/>
      <c r="K520" s="298"/>
      <c r="L520" s="298"/>
      <c r="M520" s="298"/>
      <c r="N520" s="298"/>
      <c r="O520" s="298"/>
      <c r="P520" s="298"/>
      <c r="Q520" s="302"/>
      <c r="R520" s="308"/>
    </row>
    <row r="521" spans="8:18" s="376" customFormat="1">
      <c r="H521" s="298"/>
      <c r="I521" s="364"/>
      <c r="J521" s="298"/>
      <c r="K521" s="298"/>
      <c r="L521" s="298"/>
      <c r="M521" s="298"/>
      <c r="N521" s="298"/>
      <c r="O521" s="298"/>
      <c r="P521" s="298"/>
      <c r="Q521" s="302"/>
      <c r="R521" s="308"/>
    </row>
    <row r="522" spans="8:18" s="376" customFormat="1">
      <c r="H522" s="298"/>
      <c r="I522" s="364"/>
      <c r="J522" s="298"/>
      <c r="K522" s="298"/>
      <c r="L522" s="298"/>
      <c r="M522" s="298"/>
      <c r="N522" s="298"/>
      <c r="O522" s="298"/>
      <c r="P522" s="298"/>
      <c r="Q522" s="302"/>
      <c r="R522" s="308"/>
    </row>
    <row r="523" spans="8:18" s="376" customFormat="1">
      <c r="H523" s="298"/>
      <c r="I523" s="364"/>
      <c r="J523" s="298"/>
      <c r="K523" s="298"/>
      <c r="L523" s="298"/>
      <c r="M523" s="298"/>
      <c r="N523" s="298"/>
      <c r="O523" s="298"/>
      <c r="P523" s="298"/>
      <c r="Q523" s="302"/>
      <c r="R523" s="308"/>
    </row>
    <row r="524" spans="8:18" s="376" customFormat="1">
      <c r="H524" s="298"/>
      <c r="I524" s="364"/>
      <c r="J524" s="298"/>
      <c r="K524" s="298"/>
      <c r="L524" s="298"/>
      <c r="M524" s="298"/>
      <c r="N524" s="298"/>
      <c r="O524" s="298"/>
      <c r="P524" s="298"/>
      <c r="Q524" s="302"/>
      <c r="R524" s="308"/>
    </row>
    <row r="525" spans="8:18" s="376" customFormat="1">
      <c r="H525" s="298"/>
      <c r="I525" s="364"/>
      <c r="J525" s="298"/>
      <c r="K525" s="298"/>
      <c r="L525" s="298"/>
      <c r="M525" s="298"/>
      <c r="N525" s="298"/>
      <c r="O525" s="298"/>
      <c r="P525" s="298"/>
      <c r="Q525" s="302"/>
      <c r="R525" s="308"/>
    </row>
    <row r="526" spans="8:18" s="376" customFormat="1">
      <c r="H526" s="298"/>
      <c r="I526" s="364"/>
      <c r="J526" s="298"/>
      <c r="K526" s="298"/>
      <c r="L526" s="298"/>
      <c r="M526" s="298"/>
      <c r="N526" s="298"/>
      <c r="O526" s="298"/>
      <c r="P526" s="298"/>
      <c r="Q526" s="302"/>
      <c r="R526" s="308"/>
    </row>
    <row r="527" spans="8:18" s="376" customFormat="1">
      <c r="H527" s="298"/>
      <c r="I527" s="364"/>
      <c r="J527" s="298"/>
      <c r="K527" s="298"/>
      <c r="L527" s="298"/>
      <c r="M527" s="298"/>
      <c r="N527" s="298"/>
      <c r="O527" s="298"/>
      <c r="P527" s="298"/>
      <c r="Q527" s="302"/>
      <c r="R527" s="308"/>
    </row>
    <row r="528" spans="8:18" s="376" customFormat="1">
      <c r="H528" s="298"/>
      <c r="I528" s="364"/>
      <c r="J528" s="298"/>
      <c r="K528" s="298"/>
      <c r="L528" s="298"/>
      <c r="M528" s="298"/>
      <c r="N528" s="298"/>
      <c r="O528" s="298"/>
      <c r="P528" s="298"/>
      <c r="Q528" s="302"/>
      <c r="R528" s="308"/>
    </row>
    <row r="529" spans="8:18" s="376" customFormat="1">
      <c r="H529" s="298"/>
      <c r="I529" s="364"/>
      <c r="J529" s="298"/>
      <c r="K529" s="298"/>
      <c r="L529" s="298"/>
      <c r="M529" s="298"/>
      <c r="N529" s="298"/>
      <c r="O529" s="298"/>
      <c r="P529" s="298"/>
      <c r="Q529" s="302"/>
      <c r="R529" s="308"/>
    </row>
    <row r="530" spans="8:18" s="376" customFormat="1">
      <c r="H530" s="298"/>
      <c r="I530" s="364"/>
      <c r="J530" s="298"/>
      <c r="K530" s="298"/>
      <c r="L530" s="298"/>
      <c r="M530" s="298"/>
      <c r="N530" s="298"/>
      <c r="O530" s="298"/>
      <c r="P530" s="298"/>
      <c r="Q530" s="302"/>
      <c r="R530" s="308"/>
    </row>
    <row r="531" spans="8:18" s="376" customFormat="1">
      <c r="H531" s="298"/>
      <c r="I531" s="364"/>
      <c r="J531" s="298"/>
      <c r="K531" s="298"/>
      <c r="L531" s="298"/>
      <c r="M531" s="298"/>
      <c r="N531" s="298"/>
      <c r="O531" s="298"/>
      <c r="P531" s="298"/>
      <c r="Q531" s="302"/>
      <c r="R531" s="308"/>
    </row>
    <row r="532" spans="8:18" s="376" customFormat="1">
      <c r="H532" s="298"/>
      <c r="I532" s="364"/>
      <c r="J532" s="298"/>
      <c r="K532" s="298"/>
      <c r="L532" s="298"/>
      <c r="M532" s="298"/>
      <c r="N532" s="298"/>
      <c r="O532" s="298"/>
      <c r="P532" s="298"/>
      <c r="Q532" s="302"/>
      <c r="R532" s="308"/>
    </row>
  </sheetData>
  <mergeCells count="41">
    <mergeCell ref="D378:G378"/>
    <mergeCell ref="D408:G408"/>
    <mergeCell ref="D438:G438"/>
    <mergeCell ref="D285:G285"/>
    <mergeCell ref="A307:H307"/>
    <mergeCell ref="D316:G316"/>
    <mergeCell ref="A338:H338"/>
    <mergeCell ref="D347:G347"/>
    <mergeCell ref="A369:H369"/>
    <mergeCell ref="A276:H276"/>
    <mergeCell ref="A153:H153"/>
    <mergeCell ref="I153:P153"/>
    <mergeCell ref="D162:G162"/>
    <mergeCell ref="L162:O162"/>
    <mergeCell ref="D192:G192"/>
    <mergeCell ref="L192:O192"/>
    <mergeCell ref="A214:H214"/>
    <mergeCell ref="I214:P214"/>
    <mergeCell ref="D223:G223"/>
    <mergeCell ref="A245:H245"/>
    <mergeCell ref="D254:G254"/>
    <mergeCell ref="D131:G131"/>
    <mergeCell ref="L131:O131"/>
    <mergeCell ref="D39:G39"/>
    <mergeCell ref="L39:O39"/>
    <mergeCell ref="A61:H61"/>
    <mergeCell ref="I61:P61"/>
    <mergeCell ref="D70:G70"/>
    <mergeCell ref="L70:O70"/>
    <mergeCell ref="B99:H99"/>
    <mergeCell ref="D100:G100"/>
    <mergeCell ref="L100:O100"/>
    <mergeCell ref="A122:H122"/>
    <mergeCell ref="I122:P122"/>
    <mergeCell ref="A30:H30"/>
    <mergeCell ref="I30:P30"/>
    <mergeCell ref="Q2:X2"/>
    <mergeCell ref="D7:G7"/>
    <mergeCell ref="L7:O7"/>
    <mergeCell ref="A28:H28"/>
    <mergeCell ref="I28:P28"/>
  </mergeCells>
  <conditionalFormatting sqref="Q1:R7 Q9:R1048576">
    <cfRule type="cellIs" dxfId="4998" priority="1" stopIfTrue="1" operator="notEqual">
      <formula>100</formula>
    </cfRule>
  </conditionalFormatting>
  <pageMargins left="0.7" right="0.7" top="0.75" bottom="0.75" header="0.3" footer="0.3"/>
  <pageSetup scale="97" firstPageNumber="91" orientation="landscape" useFirstPageNumber="1" r:id="rId1"/>
  <headerFooter>
    <oddHeader>&amp;R&amp;"Arial,Regular"&amp;8SREB-State Data Exchange</oddHeader>
    <oddFooter>&amp;CC-&amp;P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2067-10E3-4BAA-A5BD-3515843DC131}">
  <sheetPr>
    <tabColor rgb="FF006600"/>
  </sheetPr>
  <dimension ref="A2:W617"/>
  <sheetViews>
    <sheetView workbookViewId="0">
      <pane xSplit="2" ySplit="5" topLeftCell="C188" activePane="bottomRight" state="frozen"/>
      <selection pane="topRight" activeCell="C1" sqref="C1"/>
      <selection pane="bottomLeft" activeCell="A6" sqref="A6"/>
      <selection pane="bottomRight" activeCell="J216" sqref="J216"/>
    </sheetView>
  </sheetViews>
  <sheetFormatPr defaultRowHeight="15"/>
  <cols>
    <col min="1" max="1" width="4.6640625" style="507" customWidth="1"/>
    <col min="2" max="2" width="16.88671875" style="507" customWidth="1"/>
    <col min="3" max="9" width="10" style="507" customWidth="1"/>
    <col min="10" max="10" width="12.44140625" style="507" customWidth="1"/>
    <col min="11" max="14" width="8.6640625" style="507" customWidth="1"/>
    <col min="15" max="15" width="11.109375" style="507" customWidth="1"/>
    <col min="16" max="17" width="8.77734375" style="507" customWidth="1"/>
    <col min="18" max="18" width="11.33203125" style="507" customWidth="1"/>
    <col min="19" max="21" width="8.88671875" style="507" customWidth="1"/>
    <col min="22" max="22" width="7.109375" style="507" customWidth="1"/>
    <col min="23" max="16384" width="8.88671875" style="507"/>
  </cols>
  <sheetData>
    <row r="2" spans="1:22">
      <c r="D2" s="507" t="s">
        <v>740</v>
      </c>
    </row>
    <row r="3" spans="1:22">
      <c r="A3" s="508"/>
      <c r="B3" s="509"/>
      <c r="C3" s="508" t="s">
        <v>723</v>
      </c>
      <c r="D3" s="510" t="s">
        <v>21</v>
      </c>
      <c r="E3" s="510"/>
      <c r="F3" s="511"/>
      <c r="G3" s="511"/>
      <c r="H3" s="511"/>
      <c r="I3" s="511"/>
      <c r="J3" s="511"/>
      <c r="K3" s="511"/>
      <c r="L3" s="511"/>
      <c r="M3" s="511"/>
      <c r="N3" s="511"/>
      <c r="O3" s="511"/>
      <c r="P3" s="511"/>
      <c r="Q3" s="511"/>
      <c r="R3" s="511"/>
      <c r="S3" s="512"/>
      <c r="T3" s="512"/>
      <c r="U3" s="511"/>
      <c r="V3" s="513"/>
    </row>
    <row r="4" spans="1:22">
      <c r="A4" s="514"/>
      <c r="B4" s="515"/>
      <c r="C4" s="514" t="s">
        <v>741</v>
      </c>
      <c r="D4" s="516"/>
      <c r="E4" s="515"/>
      <c r="F4" s="515"/>
      <c r="G4" s="515"/>
      <c r="H4" s="515"/>
      <c r="I4" s="515"/>
      <c r="J4" s="508" t="s">
        <v>742</v>
      </c>
      <c r="K4" s="517" t="s">
        <v>727</v>
      </c>
      <c r="L4" s="516"/>
      <c r="M4" s="515"/>
      <c r="N4" s="515"/>
      <c r="O4" s="508" t="s">
        <v>728</v>
      </c>
      <c r="P4" s="508" t="s">
        <v>743</v>
      </c>
      <c r="Q4" s="509"/>
      <c r="R4" s="508" t="s">
        <v>744</v>
      </c>
      <c r="S4" s="518" t="s">
        <v>818</v>
      </c>
      <c r="T4" s="518" t="s">
        <v>819</v>
      </c>
      <c r="U4" s="519" t="s">
        <v>745</v>
      </c>
      <c r="V4" s="513"/>
    </row>
    <row r="5" spans="1:22">
      <c r="A5" s="508" t="s">
        <v>14</v>
      </c>
      <c r="B5" s="508" t="s">
        <v>731</v>
      </c>
      <c r="C5" s="508">
        <v>1</v>
      </c>
      <c r="D5" s="520">
        <v>2</v>
      </c>
      <c r="E5" s="520">
        <v>3</v>
      </c>
      <c r="F5" s="520">
        <v>4</v>
      </c>
      <c r="G5" s="520">
        <v>5</v>
      </c>
      <c r="H5" s="520">
        <v>6</v>
      </c>
      <c r="I5" s="520">
        <v>15</v>
      </c>
      <c r="J5" s="521"/>
      <c r="K5" s="522">
        <v>7</v>
      </c>
      <c r="L5" s="520">
        <v>8</v>
      </c>
      <c r="M5" s="520">
        <v>9</v>
      </c>
      <c r="N5" s="520">
        <v>10</v>
      </c>
      <c r="O5" s="521"/>
      <c r="P5" s="523">
        <v>12</v>
      </c>
      <c r="Q5" s="507">
        <v>13</v>
      </c>
      <c r="R5" s="521"/>
      <c r="S5" s="524" t="s">
        <v>818</v>
      </c>
      <c r="T5" s="524"/>
      <c r="U5" s="525"/>
      <c r="V5" s="513"/>
    </row>
    <row r="6" spans="1:22">
      <c r="A6" s="526" t="s">
        <v>50</v>
      </c>
      <c r="B6" s="508" t="s">
        <v>746</v>
      </c>
      <c r="C6" s="527">
        <v>0.88434978120693719</v>
      </c>
      <c r="D6" s="528">
        <v>0.89557854120948455</v>
      </c>
      <c r="E6" s="528">
        <v>0.78599685673733533</v>
      </c>
      <c r="F6" s="528">
        <v>0.82761023150449398</v>
      </c>
      <c r="G6" s="528">
        <v>0.89566012026664277</v>
      </c>
      <c r="H6" s="528">
        <v>0.19334477355815863</v>
      </c>
      <c r="I6" s="528">
        <v>0.99258939492049791</v>
      </c>
      <c r="J6" s="529">
        <v>0.84904003238444969</v>
      </c>
      <c r="K6" s="529">
        <v>0</v>
      </c>
      <c r="L6" s="528">
        <v>0.63466803838637864</v>
      </c>
      <c r="M6" s="528">
        <v>0.71705992084636017</v>
      </c>
      <c r="N6" s="528">
        <v>0.64345366458030162</v>
      </c>
      <c r="O6" s="529">
        <v>0.68305783122632413</v>
      </c>
      <c r="P6" s="529">
        <v>0.8703321821660166</v>
      </c>
      <c r="Q6" s="528">
        <v>0.85017280847434806</v>
      </c>
      <c r="R6" s="529">
        <v>0.85974035162191798</v>
      </c>
      <c r="S6" s="529">
        <v>0</v>
      </c>
      <c r="T6" s="529">
        <v>0</v>
      </c>
      <c r="U6" s="529">
        <v>0.79825016780424707</v>
      </c>
      <c r="V6" s="513"/>
    </row>
    <row r="7" spans="1:22">
      <c r="A7" s="530"/>
      <c r="B7" s="531" t="s">
        <v>747</v>
      </c>
      <c r="C7" s="532">
        <v>0.86956405174602891</v>
      </c>
      <c r="D7" s="533">
        <v>0.8751196571861769</v>
      </c>
      <c r="E7" s="533">
        <v>0.75132683363217267</v>
      </c>
      <c r="F7" s="533">
        <v>0.8015372952027966</v>
      </c>
      <c r="G7" s="533">
        <v>0.85087901882925576</v>
      </c>
      <c r="H7" s="533">
        <v>0.1644015514766515</v>
      </c>
      <c r="I7" s="533">
        <v>0.98632580261593339</v>
      </c>
      <c r="J7" s="534">
        <v>0.82788968098718552</v>
      </c>
      <c r="K7" s="534">
        <v>0</v>
      </c>
      <c r="L7" s="533">
        <v>0.62086716581506063</v>
      </c>
      <c r="M7" s="533">
        <v>0.70952828648585919</v>
      </c>
      <c r="N7" s="533">
        <v>0.63234346889367654</v>
      </c>
      <c r="O7" s="534">
        <v>0.67606702516239736</v>
      </c>
      <c r="P7" s="534">
        <v>0.87051560153512431</v>
      </c>
      <c r="Q7" s="533">
        <v>0.85913429847904099</v>
      </c>
      <c r="R7" s="534">
        <v>0.86489289849478967</v>
      </c>
      <c r="S7" s="534">
        <v>0</v>
      </c>
      <c r="T7" s="534">
        <v>0</v>
      </c>
      <c r="U7" s="534">
        <v>0.78110414688913099</v>
      </c>
      <c r="V7" s="535"/>
    </row>
    <row r="8" spans="1:22">
      <c r="A8" s="530"/>
      <c r="B8" s="536" t="s">
        <v>748</v>
      </c>
      <c r="C8" s="537">
        <v>-1.4785729460908281</v>
      </c>
      <c r="D8" s="538">
        <v>-2.0458884023307644</v>
      </c>
      <c r="E8" s="538">
        <v>-3.4670023105162651</v>
      </c>
      <c r="F8" s="538">
        <v>-2.607293630169738</v>
      </c>
      <c r="G8" s="538">
        <v>-4.4781101437387001</v>
      </c>
      <c r="H8" s="538">
        <v>-2.8943222081507125</v>
      </c>
      <c r="I8" s="538">
        <v>-0.62635923045645248</v>
      </c>
      <c r="J8" s="539">
        <v>-2.1150351397264178</v>
      </c>
      <c r="K8" s="539">
        <v>0</v>
      </c>
      <c r="L8" s="538">
        <v>-1.3800872571318012</v>
      </c>
      <c r="M8" s="538">
        <v>-0.75316343605009717</v>
      </c>
      <c r="N8" s="538">
        <v>-1.111019568662508</v>
      </c>
      <c r="O8" s="539">
        <v>-0.69908060639267688</v>
      </c>
      <c r="P8" s="539">
        <v>1.8341936910770684E-2</v>
      </c>
      <c r="Q8" s="538">
        <v>0.89614900046929291</v>
      </c>
      <c r="R8" s="539">
        <v>0.51525468728716994</v>
      </c>
      <c r="S8" s="539">
        <v>0</v>
      </c>
      <c r="T8" s="539">
        <v>0</v>
      </c>
      <c r="U8" s="539">
        <v>-1.7146020915116078</v>
      </c>
      <c r="V8" s="535"/>
    </row>
    <row r="9" spans="1:22">
      <c r="A9" s="530"/>
      <c r="B9" s="508" t="s">
        <v>749</v>
      </c>
      <c r="C9" s="527">
        <v>2.6528267980328429E-4</v>
      </c>
      <c r="D9" s="528">
        <v>7.8282406991517272E-4</v>
      </c>
      <c r="E9" s="528">
        <v>4.3630166393348992E-3</v>
      </c>
      <c r="F9" s="528">
        <v>1.1082228505773352E-3</v>
      </c>
      <c r="G9" s="528">
        <v>2.741491991742887E-3</v>
      </c>
      <c r="H9" s="528">
        <v>3.5544281131090052E-2</v>
      </c>
      <c r="I9" s="528">
        <v>0</v>
      </c>
      <c r="J9" s="529">
        <v>1.9984497279239145E-3</v>
      </c>
      <c r="K9" s="529">
        <v>0</v>
      </c>
      <c r="L9" s="528">
        <v>3.9700943329468566E-2</v>
      </c>
      <c r="M9" s="528">
        <v>8.6246431086740197E-2</v>
      </c>
      <c r="N9" s="528">
        <v>6.8169200109870196E-2</v>
      </c>
      <c r="O9" s="529">
        <v>7.196916518049E-2</v>
      </c>
      <c r="P9" s="529">
        <v>4.7230987105269698E-2</v>
      </c>
      <c r="Q9" s="528">
        <v>5.0899950626150187E-2</v>
      </c>
      <c r="R9" s="529">
        <v>4.9158677939321049E-2</v>
      </c>
      <c r="S9" s="529">
        <v>0</v>
      </c>
      <c r="T9" s="529">
        <v>0</v>
      </c>
      <c r="U9" s="529">
        <v>2.4234020198248059E-2</v>
      </c>
      <c r="V9" s="535"/>
    </row>
    <row r="10" spans="1:22">
      <c r="A10" s="530"/>
      <c r="B10" s="531" t="s">
        <v>750</v>
      </c>
      <c r="C10" s="532">
        <v>6.2310118034120329E-3</v>
      </c>
      <c r="D10" s="533">
        <v>8.5232322323801444E-4</v>
      </c>
      <c r="E10" s="533">
        <v>3.5642833432234398E-3</v>
      </c>
      <c r="F10" s="533">
        <v>1.8700248494293054E-3</v>
      </c>
      <c r="G10" s="533">
        <v>2.9620853080568718E-3</v>
      </c>
      <c r="H10" s="533">
        <v>2.6066640197904896E-2</v>
      </c>
      <c r="I10" s="533">
        <v>0</v>
      </c>
      <c r="J10" s="534">
        <v>4.9157383838466509E-3</v>
      </c>
      <c r="K10" s="534">
        <v>0</v>
      </c>
      <c r="L10" s="533">
        <v>3.8027800347913338E-2</v>
      </c>
      <c r="M10" s="533">
        <v>7.1523121495290345E-2</v>
      </c>
      <c r="N10" s="533">
        <v>3.6774854756775111E-2</v>
      </c>
      <c r="O10" s="534">
        <v>5.7844963841378882E-2</v>
      </c>
      <c r="P10" s="534">
        <v>4.3264761269099665E-2</v>
      </c>
      <c r="Q10" s="533">
        <v>4.8192182808036915E-2</v>
      </c>
      <c r="R10" s="534">
        <v>4.5699054419143188E-2</v>
      </c>
      <c r="S10" s="534">
        <v>0</v>
      </c>
      <c r="T10" s="534">
        <v>0</v>
      </c>
      <c r="U10" s="534">
        <v>2.2043503571751815E-2</v>
      </c>
      <c r="V10" s="535"/>
    </row>
    <row r="11" spans="1:22">
      <c r="A11" s="530"/>
      <c r="B11" s="536" t="s">
        <v>751</v>
      </c>
      <c r="C11" s="537">
        <v>0.59657291236087484</v>
      </c>
      <c r="D11" s="538">
        <v>6.9499153322841716E-3</v>
      </c>
      <c r="E11" s="538">
        <v>-7.9873329611145932E-2</v>
      </c>
      <c r="F11" s="538">
        <v>7.6180199885197017E-2</v>
      </c>
      <c r="G11" s="538">
        <v>2.2059331631398484E-2</v>
      </c>
      <c r="H11" s="538">
        <v>-0.94776409331851563</v>
      </c>
      <c r="I11" s="538">
        <v>0</v>
      </c>
      <c r="J11" s="540">
        <v>0.29172886559227362</v>
      </c>
      <c r="K11" s="540">
        <v>0</v>
      </c>
      <c r="L11" s="538">
        <v>-0.16731429815552284</v>
      </c>
      <c r="M11" s="538">
        <v>-1.4723309591449851</v>
      </c>
      <c r="N11" s="538">
        <v>-3.1394345353095083</v>
      </c>
      <c r="O11" s="540">
        <v>-1.4124201339111118</v>
      </c>
      <c r="P11" s="540">
        <v>-0.39662258361700331</v>
      </c>
      <c r="Q11" s="538">
        <v>-0.27077678181132714</v>
      </c>
      <c r="R11" s="540">
        <v>-0.34596235201778613</v>
      </c>
      <c r="S11" s="540">
        <v>0</v>
      </c>
      <c r="T11" s="540">
        <v>0</v>
      </c>
      <c r="U11" s="540">
        <v>-0.21905166264962439</v>
      </c>
      <c r="V11" s="535"/>
    </row>
    <row r="12" spans="1:22">
      <c r="A12" s="530"/>
      <c r="B12" s="508" t="s">
        <v>752</v>
      </c>
      <c r="C12" s="527">
        <v>0.1144170973384173</v>
      </c>
      <c r="D12" s="528">
        <v>0.10363863472060025</v>
      </c>
      <c r="E12" s="528">
        <v>0.20838754826825134</v>
      </c>
      <c r="F12" s="528">
        <v>0.17128154564492865</v>
      </c>
      <c r="G12" s="528">
        <v>0.10159838774161438</v>
      </c>
      <c r="H12" s="528">
        <v>0.77111094531075131</v>
      </c>
      <c r="I12" s="528">
        <v>7.4106050795021226E-3</v>
      </c>
      <c r="J12" s="529">
        <v>0.14817998725529555</v>
      </c>
      <c r="K12" s="529">
        <v>0</v>
      </c>
      <c r="L12" s="528">
        <v>0.32129268252853665</v>
      </c>
      <c r="M12" s="528">
        <v>0.19113639841171831</v>
      </c>
      <c r="N12" s="528">
        <v>0.28687810836240801</v>
      </c>
      <c r="O12" s="529">
        <v>0.24054175507604178</v>
      </c>
      <c r="P12" s="529">
        <v>8.2436830728713759E-2</v>
      </c>
      <c r="Q12" s="528">
        <v>9.8927240899501778E-2</v>
      </c>
      <c r="R12" s="529">
        <v>9.1100970438760948E-2</v>
      </c>
      <c r="S12" s="529">
        <v>0</v>
      </c>
      <c r="T12" s="529">
        <v>0</v>
      </c>
      <c r="U12" s="529">
        <v>0.17562620253436176</v>
      </c>
      <c r="V12" s="535"/>
    </row>
    <row r="13" spans="1:22">
      <c r="A13" s="530"/>
      <c r="B13" s="531" t="s">
        <v>753</v>
      </c>
      <c r="C13" s="532">
        <v>0.12357313471793517</v>
      </c>
      <c r="D13" s="533">
        <v>0.12402801959058504</v>
      </c>
      <c r="E13" s="533">
        <v>0.23267170015418312</v>
      </c>
      <c r="F13" s="533">
        <v>0.19659267994777407</v>
      </c>
      <c r="G13" s="533">
        <v>0.14615889586268732</v>
      </c>
      <c r="H13" s="533">
        <v>0.80953180832544358</v>
      </c>
      <c r="I13" s="533">
        <v>1.3674197384066587E-2</v>
      </c>
      <c r="J13" s="534">
        <v>0.16420634206096518</v>
      </c>
      <c r="K13" s="534">
        <v>0</v>
      </c>
      <c r="L13" s="533">
        <v>0.336352581266121</v>
      </c>
      <c r="M13" s="533">
        <v>0.2118806584281199</v>
      </c>
      <c r="N13" s="533">
        <v>0.33088167634954835</v>
      </c>
      <c r="O13" s="534">
        <v>0.26083125093818155</v>
      </c>
      <c r="P13" s="534">
        <v>8.6219637195776022E-2</v>
      </c>
      <c r="Q13" s="533">
        <v>9.2673518712922051E-2</v>
      </c>
      <c r="R13" s="534">
        <v>8.9408047086067158E-2</v>
      </c>
      <c r="S13" s="534">
        <v>0</v>
      </c>
      <c r="T13" s="534">
        <v>0</v>
      </c>
      <c r="U13" s="534">
        <v>0.19320211483396416</v>
      </c>
      <c r="V13" s="535"/>
    </row>
    <row r="14" spans="1:22" s="541" customFormat="1">
      <c r="A14" s="530"/>
      <c r="B14" s="536" t="s">
        <v>754</v>
      </c>
      <c r="C14" s="537">
        <v>0.91560373795178673</v>
      </c>
      <c r="D14" s="538">
        <v>2.0389384869984788</v>
      </c>
      <c r="E14" s="538">
        <v>2.4284151885931777</v>
      </c>
      <c r="F14" s="538">
        <v>2.5311134302845426</v>
      </c>
      <c r="G14" s="538">
        <v>4.4560508121072946</v>
      </c>
      <c r="H14" s="538">
        <v>3.8420863014692275</v>
      </c>
      <c r="I14" s="538">
        <v>0.62635923045644637</v>
      </c>
      <c r="J14" s="540">
        <v>1.6026354805669634</v>
      </c>
      <c r="K14" s="540">
        <v>0</v>
      </c>
      <c r="L14" s="538">
        <v>1.5059898737584343</v>
      </c>
      <c r="M14" s="538">
        <v>2.074426001640159</v>
      </c>
      <c r="N14" s="538">
        <v>4.400356798714034</v>
      </c>
      <c r="O14" s="540">
        <v>2.0289495862139768</v>
      </c>
      <c r="P14" s="540">
        <v>0.37828064670622635</v>
      </c>
      <c r="Q14" s="538">
        <v>-0.62537221865797266</v>
      </c>
      <c r="R14" s="540">
        <v>-0.16929233526937898</v>
      </c>
      <c r="S14" s="540">
        <v>0</v>
      </c>
      <c r="T14" s="540">
        <v>0</v>
      </c>
      <c r="U14" s="540">
        <v>1.7575912299602399</v>
      </c>
      <c r="V14" s="535"/>
    </row>
    <row r="15" spans="1:22">
      <c r="A15" s="530"/>
      <c r="B15" s="508" t="s">
        <v>755</v>
      </c>
      <c r="C15" s="527">
        <v>9.6783877484223763E-4</v>
      </c>
      <c r="D15" s="528">
        <v>0</v>
      </c>
      <c r="E15" s="528">
        <v>1.2525783550783912E-3</v>
      </c>
      <c r="F15" s="528">
        <v>0</v>
      </c>
      <c r="G15" s="528">
        <v>0</v>
      </c>
      <c r="H15" s="528">
        <v>0</v>
      </c>
      <c r="I15" s="528">
        <v>0</v>
      </c>
      <c r="J15" s="529">
        <v>7.8153063233084633E-4</v>
      </c>
      <c r="K15" s="529">
        <v>0</v>
      </c>
      <c r="L15" s="528">
        <v>4.3383357556161578E-3</v>
      </c>
      <c r="M15" s="528">
        <v>3.8003296802275421E-3</v>
      </c>
      <c r="N15" s="528">
        <v>0</v>
      </c>
      <c r="O15" s="529">
        <v>3.1241896020152739E-3</v>
      </c>
      <c r="P15" s="529">
        <v>0</v>
      </c>
      <c r="Q15" s="528">
        <v>0</v>
      </c>
      <c r="R15" s="529">
        <v>0</v>
      </c>
      <c r="S15" s="529">
        <v>0</v>
      </c>
      <c r="T15" s="529">
        <v>0</v>
      </c>
      <c r="U15" s="529">
        <v>1.4883097943094502E-3</v>
      </c>
      <c r="V15" s="535"/>
    </row>
    <row r="16" spans="1:22">
      <c r="A16" s="530"/>
      <c r="B16" s="531" t="s">
        <v>756</v>
      </c>
      <c r="C16" s="532">
        <v>6.318017326239348E-4</v>
      </c>
      <c r="D16" s="533">
        <v>0</v>
      </c>
      <c r="E16" s="533">
        <v>3.4989189237684252E-4</v>
      </c>
      <c r="F16" s="533">
        <v>0</v>
      </c>
      <c r="G16" s="533">
        <v>0</v>
      </c>
      <c r="H16" s="533">
        <v>0</v>
      </c>
      <c r="I16" s="533">
        <v>0</v>
      </c>
      <c r="J16" s="534">
        <v>4.1523775225966276E-4</v>
      </c>
      <c r="K16" s="534">
        <v>0</v>
      </c>
      <c r="L16" s="533">
        <v>4.7524525709050653E-3</v>
      </c>
      <c r="M16" s="533">
        <v>3.720327365205744E-3</v>
      </c>
      <c r="N16" s="533">
        <v>0</v>
      </c>
      <c r="O16" s="534">
        <v>3.2529514088175822E-3</v>
      </c>
      <c r="P16" s="534">
        <v>0</v>
      </c>
      <c r="Q16" s="533">
        <v>0</v>
      </c>
      <c r="R16" s="534">
        <v>0</v>
      </c>
      <c r="S16" s="534">
        <v>0</v>
      </c>
      <c r="T16" s="534">
        <v>0</v>
      </c>
      <c r="U16" s="534">
        <v>1.2939120958567092E-3</v>
      </c>
      <c r="V16" s="535"/>
    </row>
    <row r="17" spans="1:22">
      <c r="A17" s="530"/>
      <c r="B17" s="536" t="s">
        <v>757</v>
      </c>
      <c r="C17" s="537">
        <v>-3.3603704221830281E-2</v>
      </c>
      <c r="D17" s="538">
        <v>0</v>
      </c>
      <c r="E17" s="538">
        <v>-9.0268646270154879E-2</v>
      </c>
      <c r="F17" s="538">
        <v>0</v>
      </c>
      <c r="G17" s="538">
        <v>0</v>
      </c>
      <c r="H17" s="538">
        <v>0</v>
      </c>
      <c r="I17" s="538">
        <v>0</v>
      </c>
      <c r="J17" s="540">
        <v>-3.6629288007118357E-2</v>
      </c>
      <c r="K17" s="540">
        <v>0</v>
      </c>
      <c r="L17" s="538">
        <v>4.1411681528890756E-2</v>
      </c>
      <c r="M17" s="538">
        <v>-8.0002315021798168E-3</v>
      </c>
      <c r="N17" s="538">
        <v>0</v>
      </c>
      <c r="O17" s="540">
        <v>1.2876180680230836E-2</v>
      </c>
      <c r="P17" s="540">
        <v>0</v>
      </c>
      <c r="Q17" s="538">
        <v>0</v>
      </c>
      <c r="R17" s="540">
        <v>0</v>
      </c>
      <c r="S17" s="540">
        <v>0</v>
      </c>
      <c r="T17" s="540">
        <v>0</v>
      </c>
      <c r="U17" s="540">
        <v>-1.9439769845274096E-2</v>
      </c>
      <c r="V17" s="535"/>
    </row>
    <row r="18" spans="1:22">
      <c r="A18" s="530"/>
      <c r="B18" s="508" t="s">
        <v>758</v>
      </c>
      <c r="C18" s="527">
        <v>0</v>
      </c>
      <c r="D18" s="528">
        <v>0</v>
      </c>
      <c r="E18" s="528">
        <v>0</v>
      </c>
      <c r="F18" s="528">
        <v>0</v>
      </c>
      <c r="G18" s="528">
        <v>0</v>
      </c>
      <c r="H18" s="528">
        <v>0</v>
      </c>
      <c r="I18" s="528">
        <v>0</v>
      </c>
      <c r="J18" s="529">
        <v>0</v>
      </c>
      <c r="K18" s="529">
        <v>0</v>
      </c>
      <c r="L18" s="528">
        <v>0</v>
      </c>
      <c r="M18" s="528">
        <v>0</v>
      </c>
      <c r="N18" s="528">
        <v>1.4990269474200958E-3</v>
      </c>
      <c r="O18" s="529">
        <v>3.1450338811495987E-4</v>
      </c>
      <c r="P18" s="529">
        <v>0</v>
      </c>
      <c r="Q18" s="528">
        <v>0</v>
      </c>
      <c r="R18" s="529">
        <v>0</v>
      </c>
      <c r="S18" s="529">
        <v>0</v>
      </c>
      <c r="T18" s="529">
        <v>0</v>
      </c>
      <c r="U18" s="529">
        <v>9.6560379977329953E-5</v>
      </c>
      <c r="V18" s="535"/>
    </row>
    <row r="19" spans="1:22">
      <c r="A19" s="530"/>
      <c r="B19" s="531" t="s">
        <v>759</v>
      </c>
      <c r="C19" s="532">
        <v>0</v>
      </c>
      <c r="D19" s="533">
        <v>0</v>
      </c>
      <c r="E19" s="533">
        <v>1.2087290978043964E-2</v>
      </c>
      <c r="F19" s="533">
        <v>0</v>
      </c>
      <c r="G19" s="533">
        <v>0</v>
      </c>
      <c r="H19" s="533">
        <v>0</v>
      </c>
      <c r="I19" s="533">
        <v>0</v>
      </c>
      <c r="J19" s="534">
        <v>2.5730008157430219E-3</v>
      </c>
      <c r="K19" s="534">
        <v>0</v>
      </c>
      <c r="L19" s="533">
        <v>0</v>
      </c>
      <c r="M19" s="533">
        <v>0</v>
      </c>
      <c r="N19" s="533">
        <v>0</v>
      </c>
      <c r="O19" s="534">
        <v>0</v>
      </c>
      <c r="P19" s="534">
        <v>0</v>
      </c>
      <c r="Q19" s="533">
        <v>0</v>
      </c>
      <c r="R19" s="534">
        <v>0</v>
      </c>
      <c r="S19" s="534">
        <v>0</v>
      </c>
      <c r="T19" s="534">
        <v>0</v>
      </c>
      <c r="U19" s="534">
        <v>1.7313968467685334E-3</v>
      </c>
      <c r="V19" s="535"/>
    </row>
    <row r="20" spans="1:22">
      <c r="A20" s="530"/>
      <c r="B20" s="536" t="s">
        <v>760</v>
      </c>
      <c r="C20" s="537">
        <v>0</v>
      </c>
      <c r="D20" s="538">
        <v>0</v>
      </c>
      <c r="E20" s="538">
        <v>0</v>
      </c>
      <c r="F20" s="538">
        <v>0</v>
      </c>
      <c r="G20" s="538">
        <v>0</v>
      </c>
      <c r="H20" s="538">
        <v>0</v>
      </c>
      <c r="I20" s="538">
        <v>0</v>
      </c>
      <c r="J20" s="540">
        <v>0</v>
      </c>
      <c r="K20" s="540">
        <v>0</v>
      </c>
      <c r="L20" s="538">
        <v>0</v>
      </c>
      <c r="M20" s="538">
        <v>0</v>
      </c>
      <c r="N20" s="538">
        <v>-0.14990269474200957</v>
      </c>
      <c r="O20" s="540">
        <v>-3.145033881149599E-2</v>
      </c>
      <c r="P20" s="540">
        <v>0</v>
      </c>
      <c r="Q20" s="538">
        <v>0</v>
      </c>
      <c r="R20" s="540">
        <v>0</v>
      </c>
      <c r="S20" s="540">
        <v>0</v>
      </c>
      <c r="T20" s="540">
        <v>0</v>
      </c>
      <c r="U20" s="540">
        <v>0.16348364667912035</v>
      </c>
      <c r="V20" s="535"/>
    </row>
    <row r="21" spans="1:22">
      <c r="A21" s="530"/>
      <c r="B21" s="508" t="s">
        <v>761</v>
      </c>
      <c r="C21" s="527">
        <v>0</v>
      </c>
      <c r="D21" s="528">
        <v>0</v>
      </c>
      <c r="E21" s="528">
        <v>0</v>
      </c>
      <c r="F21" s="528">
        <v>0</v>
      </c>
      <c r="G21" s="528">
        <v>0</v>
      </c>
      <c r="H21" s="528">
        <v>0</v>
      </c>
      <c r="I21" s="528">
        <v>0</v>
      </c>
      <c r="J21" s="529">
        <v>0</v>
      </c>
      <c r="K21" s="529">
        <v>0</v>
      </c>
      <c r="L21" s="528">
        <v>0</v>
      </c>
      <c r="M21" s="528">
        <v>1.7569199749538523E-3</v>
      </c>
      <c r="N21" s="528">
        <v>0</v>
      </c>
      <c r="O21" s="529">
        <v>9.9255552701387915E-4</v>
      </c>
      <c r="P21" s="529">
        <v>0</v>
      </c>
      <c r="Q21" s="528">
        <v>0</v>
      </c>
      <c r="R21" s="529">
        <v>0</v>
      </c>
      <c r="S21" s="529">
        <v>0</v>
      </c>
      <c r="T21" s="529">
        <v>0</v>
      </c>
      <c r="U21" s="529">
        <v>3.047392888563298E-4</v>
      </c>
      <c r="V21" s="535"/>
    </row>
    <row r="22" spans="1:22">
      <c r="A22" s="530"/>
      <c r="B22" s="531" t="s">
        <v>762</v>
      </c>
      <c r="C22" s="532">
        <v>0</v>
      </c>
      <c r="D22" s="533">
        <v>0</v>
      </c>
      <c r="E22" s="533">
        <v>0</v>
      </c>
      <c r="F22" s="533">
        <v>0</v>
      </c>
      <c r="G22" s="533">
        <v>0</v>
      </c>
      <c r="H22" s="533">
        <v>0</v>
      </c>
      <c r="I22" s="533">
        <v>0</v>
      </c>
      <c r="J22" s="534">
        <v>0</v>
      </c>
      <c r="K22" s="534">
        <v>0</v>
      </c>
      <c r="L22" s="533">
        <v>0</v>
      </c>
      <c r="M22" s="533">
        <v>3.3476062255248093E-3</v>
      </c>
      <c r="N22" s="533">
        <v>0</v>
      </c>
      <c r="O22" s="534">
        <v>2.0038086492245835E-3</v>
      </c>
      <c r="P22" s="534">
        <v>0</v>
      </c>
      <c r="Q22" s="533">
        <v>0</v>
      </c>
      <c r="R22" s="534">
        <v>0</v>
      </c>
      <c r="S22" s="534">
        <v>0</v>
      </c>
      <c r="T22" s="534">
        <v>0</v>
      </c>
      <c r="U22" s="534">
        <v>6.2492576252784308E-4</v>
      </c>
      <c r="V22" s="535"/>
    </row>
    <row r="23" spans="1:22" ht="15.75" thickBot="1">
      <c r="A23" s="530"/>
      <c r="B23" s="542" t="s">
        <v>763</v>
      </c>
      <c r="C23" s="543">
        <v>0</v>
      </c>
      <c r="D23" s="544">
        <v>0</v>
      </c>
      <c r="E23" s="544">
        <v>0</v>
      </c>
      <c r="F23" s="544">
        <v>0</v>
      </c>
      <c r="G23" s="544">
        <v>0</v>
      </c>
      <c r="H23" s="544">
        <v>0</v>
      </c>
      <c r="I23" s="544">
        <v>0</v>
      </c>
      <c r="J23" s="545">
        <v>0</v>
      </c>
      <c r="K23" s="545">
        <v>0</v>
      </c>
      <c r="L23" s="544">
        <v>0</v>
      </c>
      <c r="M23" s="544">
        <v>0.15906862505709571</v>
      </c>
      <c r="N23" s="544">
        <v>0</v>
      </c>
      <c r="O23" s="545">
        <v>0.10112531222107043</v>
      </c>
      <c r="P23" s="545">
        <v>0</v>
      </c>
      <c r="Q23" s="544">
        <v>0</v>
      </c>
      <c r="R23" s="545">
        <v>0</v>
      </c>
      <c r="S23" s="545">
        <v>0</v>
      </c>
      <c r="T23" s="545">
        <v>0</v>
      </c>
      <c r="U23" s="545">
        <v>3.2018647367151327E-2</v>
      </c>
      <c r="V23" s="535"/>
    </row>
    <row r="24" spans="1:22" ht="15.75" thickTop="1">
      <c r="A24" s="530"/>
      <c r="B24" s="531" t="s">
        <v>764</v>
      </c>
      <c r="C24" s="532">
        <v>0.72718562405897424</v>
      </c>
      <c r="D24" s="533">
        <v>0.69980589591168263</v>
      </c>
      <c r="E24" s="533">
        <v>0.51696520437751381</v>
      </c>
      <c r="F24" s="533">
        <v>0.64682755447739348</v>
      </c>
      <c r="G24" s="533">
        <v>0.14104626596631326</v>
      </c>
      <c r="H24" s="533">
        <v>1.4563106796116505E-2</v>
      </c>
      <c r="I24" s="533">
        <v>0</v>
      </c>
      <c r="J24" s="534">
        <v>0.6151329934599693</v>
      </c>
      <c r="K24" s="534">
        <v>0</v>
      </c>
      <c r="L24" s="533">
        <v>0</v>
      </c>
      <c r="M24" s="533">
        <v>0</v>
      </c>
      <c r="N24" s="533">
        <v>0</v>
      </c>
      <c r="O24" s="534">
        <v>0</v>
      </c>
      <c r="P24" s="534">
        <v>0</v>
      </c>
      <c r="Q24" s="533">
        <v>0</v>
      </c>
      <c r="R24" s="534">
        <v>0</v>
      </c>
      <c r="S24" s="534">
        <v>0</v>
      </c>
      <c r="T24" s="534">
        <v>0</v>
      </c>
      <c r="U24" s="534">
        <v>0.6151329934599693</v>
      </c>
      <c r="V24" s="535"/>
    </row>
    <row r="25" spans="1:22">
      <c r="A25" s="530"/>
      <c r="B25" s="531" t="s">
        <v>765</v>
      </c>
      <c r="C25" s="532">
        <v>0.71175837175442858</v>
      </c>
      <c r="D25" s="533">
        <v>0.69230128832185156</v>
      </c>
      <c r="E25" s="533">
        <v>0.41378884497934254</v>
      </c>
      <c r="F25" s="533">
        <v>0.62746546181249452</v>
      </c>
      <c r="G25" s="533">
        <v>9.7507875509227959E-2</v>
      </c>
      <c r="H25" s="533">
        <v>1.2626262626262626E-2</v>
      </c>
      <c r="I25" s="533">
        <v>0</v>
      </c>
      <c r="J25" s="534">
        <v>0.57143942754801924</v>
      </c>
      <c r="K25" s="534">
        <v>0</v>
      </c>
      <c r="L25" s="533">
        <v>0</v>
      </c>
      <c r="M25" s="533">
        <v>0</v>
      </c>
      <c r="N25" s="533">
        <v>0</v>
      </c>
      <c r="O25" s="534">
        <v>0</v>
      </c>
      <c r="P25" s="534">
        <v>0</v>
      </c>
      <c r="Q25" s="533">
        <v>0</v>
      </c>
      <c r="R25" s="534">
        <v>0</v>
      </c>
      <c r="S25" s="534">
        <v>0</v>
      </c>
      <c r="T25" s="534">
        <v>0</v>
      </c>
      <c r="U25" s="534">
        <v>0.57143942754801924</v>
      </c>
      <c r="V25" s="535"/>
    </row>
    <row r="26" spans="1:22">
      <c r="A26" s="530"/>
      <c r="B26" s="536" t="s">
        <v>766</v>
      </c>
      <c r="C26" s="537">
        <v>-1.5427252304545669</v>
      </c>
      <c r="D26" s="538">
        <v>-0.75046075898310693</v>
      </c>
      <c r="E26" s="538">
        <v>-10.317635939817126</v>
      </c>
      <c r="F26" s="538">
        <v>-1.9362092664898967</v>
      </c>
      <c r="G26" s="538">
        <v>-4.3538390457085292</v>
      </c>
      <c r="H26" s="538">
        <v>-0.19368441698538794</v>
      </c>
      <c r="I26" s="538">
        <v>0</v>
      </c>
      <c r="J26" s="540">
        <v>-4.3693565911950056</v>
      </c>
      <c r="K26" s="540">
        <v>0</v>
      </c>
      <c r="L26" s="538">
        <v>0</v>
      </c>
      <c r="M26" s="538">
        <v>0</v>
      </c>
      <c r="N26" s="538">
        <v>0</v>
      </c>
      <c r="O26" s="540">
        <v>0</v>
      </c>
      <c r="P26" s="540">
        <v>0</v>
      </c>
      <c r="Q26" s="538">
        <v>0</v>
      </c>
      <c r="R26" s="540">
        <v>0</v>
      </c>
      <c r="S26" s="540">
        <v>0</v>
      </c>
      <c r="T26" s="540">
        <v>0</v>
      </c>
      <c r="U26" s="540">
        <v>-4.3693565911950056</v>
      </c>
      <c r="V26" s="535"/>
    </row>
    <row r="27" spans="1:22">
      <c r="A27" s="530"/>
      <c r="B27" s="508" t="s">
        <v>767</v>
      </c>
      <c r="C27" s="527">
        <v>1.7414598854148335E-2</v>
      </c>
      <c r="D27" s="528">
        <v>0</v>
      </c>
      <c r="E27" s="528">
        <v>3.8700776353942567E-3</v>
      </c>
      <c r="F27" s="528">
        <v>0</v>
      </c>
      <c r="G27" s="528">
        <v>6.9195433489039207E-3</v>
      </c>
      <c r="H27" s="528">
        <v>0</v>
      </c>
      <c r="I27" s="528">
        <v>0</v>
      </c>
      <c r="J27" s="529">
        <v>1.0998461798476347E-2</v>
      </c>
      <c r="K27" s="529">
        <v>0</v>
      </c>
      <c r="L27" s="528">
        <v>0</v>
      </c>
      <c r="M27" s="528">
        <v>0</v>
      </c>
      <c r="N27" s="528">
        <v>0</v>
      </c>
      <c r="O27" s="529">
        <v>0</v>
      </c>
      <c r="P27" s="529">
        <v>0</v>
      </c>
      <c r="Q27" s="528">
        <v>0</v>
      </c>
      <c r="R27" s="529">
        <v>0</v>
      </c>
      <c r="S27" s="529">
        <v>0</v>
      </c>
      <c r="T27" s="529">
        <v>0</v>
      </c>
      <c r="U27" s="529">
        <v>1.0998461798476347E-2</v>
      </c>
      <c r="V27" s="535"/>
    </row>
    <row r="28" spans="1:22">
      <c r="A28" s="530"/>
      <c r="B28" s="531" t="s">
        <v>768</v>
      </c>
      <c r="C28" s="532">
        <v>2.8269837418102402E-2</v>
      </c>
      <c r="D28" s="533">
        <v>0</v>
      </c>
      <c r="E28" s="533">
        <v>6.915753547691755E-3</v>
      </c>
      <c r="F28" s="533">
        <v>1.9549917455904077E-3</v>
      </c>
      <c r="G28" s="533">
        <v>1.0060859956128054E-2</v>
      </c>
      <c r="H28" s="533">
        <v>0</v>
      </c>
      <c r="I28" s="533">
        <v>0</v>
      </c>
      <c r="J28" s="534">
        <v>1.7924040025632179E-2</v>
      </c>
      <c r="K28" s="534">
        <v>0</v>
      </c>
      <c r="L28" s="533">
        <v>0</v>
      </c>
      <c r="M28" s="533">
        <v>0</v>
      </c>
      <c r="N28" s="533">
        <v>0</v>
      </c>
      <c r="O28" s="534">
        <v>0</v>
      </c>
      <c r="P28" s="534">
        <v>0</v>
      </c>
      <c r="Q28" s="533">
        <v>0</v>
      </c>
      <c r="R28" s="534">
        <v>0</v>
      </c>
      <c r="S28" s="534">
        <v>0</v>
      </c>
      <c r="T28" s="534">
        <v>0</v>
      </c>
      <c r="U28" s="534">
        <v>1.7924040025632179E-2</v>
      </c>
      <c r="V28" s="535"/>
    </row>
    <row r="29" spans="1:22">
      <c r="A29" s="530"/>
      <c r="B29" s="536" t="s">
        <v>769</v>
      </c>
      <c r="C29" s="537">
        <v>1.0855238563954068</v>
      </c>
      <c r="D29" s="538">
        <v>0</v>
      </c>
      <c r="E29" s="538">
        <v>0.3045675912297498</v>
      </c>
      <c r="F29" s="538">
        <v>0</v>
      </c>
      <c r="G29" s="538">
        <v>0.31413166072241328</v>
      </c>
      <c r="H29" s="538">
        <v>0</v>
      </c>
      <c r="I29" s="538">
        <v>0</v>
      </c>
      <c r="J29" s="540">
        <v>0.69255782271558319</v>
      </c>
      <c r="K29" s="540">
        <v>0</v>
      </c>
      <c r="L29" s="538">
        <v>0</v>
      </c>
      <c r="M29" s="538">
        <v>0</v>
      </c>
      <c r="N29" s="538">
        <v>0</v>
      </c>
      <c r="O29" s="540">
        <v>0</v>
      </c>
      <c r="P29" s="540">
        <v>0</v>
      </c>
      <c r="Q29" s="538">
        <v>0</v>
      </c>
      <c r="R29" s="540">
        <v>0</v>
      </c>
      <c r="S29" s="540">
        <v>0</v>
      </c>
      <c r="T29" s="540">
        <v>0</v>
      </c>
      <c r="U29" s="540">
        <v>0.69255782271558319</v>
      </c>
      <c r="V29" s="535"/>
    </row>
    <row r="30" spans="1:22">
      <c r="A30" s="530"/>
      <c r="B30" s="508" t="s">
        <v>770</v>
      </c>
      <c r="C30" s="527">
        <v>0.25410922743004632</v>
      </c>
      <c r="D30" s="528">
        <v>0.30019410408831737</v>
      </c>
      <c r="E30" s="528">
        <v>0.47916471798709193</v>
      </c>
      <c r="F30" s="528">
        <v>0.35317244552260657</v>
      </c>
      <c r="G30" s="528">
        <v>0.85203419068478281</v>
      </c>
      <c r="H30" s="528">
        <v>0.9854368932038835</v>
      </c>
      <c r="I30" s="528">
        <v>0</v>
      </c>
      <c r="J30" s="529">
        <v>0.37316255516880636</v>
      </c>
      <c r="K30" s="529">
        <v>0</v>
      </c>
      <c r="L30" s="528">
        <v>0</v>
      </c>
      <c r="M30" s="528">
        <v>0</v>
      </c>
      <c r="N30" s="528">
        <v>0</v>
      </c>
      <c r="O30" s="529">
        <v>0</v>
      </c>
      <c r="P30" s="529">
        <v>0</v>
      </c>
      <c r="Q30" s="528">
        <v>0</v>
      </c>
      <c r="R30" s="529">
        <v>0</v>
      </c>
      <c r="S30" s="529">
        <v>0</v>
      </c>
      <c r="T30" s="529">
        <v>0</v>
      </c>
      <c r="U30" s="529">
        <v>0.37316255516880636</v>
      </c>
      <c r="V30" s="535"/>
    </row>
    <row r="31" spans="1:22">
      <c r="A31" s="530"/>
      <c r="B31" s="531" t="s">
        <v>771</v>
      </c>
      <c r="C31" s="532">
        <v>0.25840208687211841</v>
      </c>
      <c r="D31" s="533">
        <v>0.3076987116781485</v>
      </c>
      <c r="E31" s="533">
        <v>0.56333078857553442</v>
      </c>
      <c r="F31" s="533">
        <v>0.37057954644191504</v>
      </c>
      <c r="G31" s="533">
        <v>0.89243126453464394</v>
      </c>
      <c r="H31" s="533">
        <v>0.98737373737373735</v>
      </c>
      <c r="I31" s="533">
        <v>0</v>
      </c>
      <c r="J31" s="534">
        <v>0.40686564466571368</v>
      </c>
      <c r="K31" s="534">
        <v>0</v>
      </c>
      <c r="L31" s="533">
        <v>0</v>
      </c>
      <c r="M31" s="533">
        <v>0</v>
      </c>
      <c r="N31" s="533">
        <v>0</v>
      </c>
      <c r="O31" s="534">
        <v>0</v>
      </c>
      <c r="P31" s="534">
        <v>0</v>
      </c>
      <c r="Q31" s="533">
        <v>0</v>
      </c>
      <c r="R31" s="534">
        <v>0</v>
      </c>
      <c r="S31" s="534">
        <v>0</v>
      </c>
      <c r="T31" s="534">
        <v>0</v>
      </c>
      <c r="U31" s="534">
        <v>0.40686564466571368</v>
      </c>
      <c r="V31" s="535"/>
    </row>
    <row r="32" spans="1:22">
      <c r="A32" s="530"/>
      <c r="B32" s="536" t="s">
        <v>772</v>
      </c>
      <c r="C32" s="537">
        <v>0.42928594420720834</v>
      </c>
      <c r="D32" s="538">
        <v>0.75046075898311249</v>
      </c>
      <c r="E32" s="538">
        <v>8.4166070588442494</v>
      </c>
      <c r="F32" s="538">
        <v>1.7407100919308471</v>
      </c>
      <c r="G32" s="538">
        <v>4.0397073849861131</v>
      </c>
      <c r="H32" s="538">
        <v>0.19368441698538463</v>
      </c>
      <c r="I32" s="538">
        <v>0</v>
      </c>
      <c r="J32" s="540">
        <v>3.370308949690731</v>
      </c>
      <c r="K32" s="540">
        <v>0</v>
      </c>
      <c r="L32" s="538">
        <v>0</v>
      </c>
      <c r="M32" s="538">
        <v>0</v>
      </c>
      <c r="N32" s="538">
        <v>0</v>
      </c>
      <c r="O32" s="540">
        <v>0</v>
      </c>
      <c r="P32" s="540">
        <v>0</v>
      </c>
      <c r="Q32" s="538">
        <v>0</v>
      </c>
      <c r="R32" s="540">
        <v>0</v>
      </c>
      <c r="S32" s="540">
        <v>0</v>
      </c>
      <c r="T32" s="540">
        <v>0</v>
      </c>
      <c r="U32" s="540">
        <v>3.370308949690731</v>
      </c>
      <c r="V32" s="535"/>
    </row>
    <row r="33" spans="1:22">
      <c r="A33" s="530"/>
      <c r="B33" s="508" t="s">
        <v>773</v>
      </c>
      <c r="C33" s="527">
        <v>1.290549656831114E-3</v>
      </c>
      <c r="D33" s="528">
        <v>0</v>
      </c>
      <c r="E33" s="528">
        <v>0</v>
      </c>
      <c r="F33" s="528">
        <v>0</v>
      </c>
      <c r="G33" s="528">
        <v>0</v>
      </c>
      <c r="H33" s="528">
        <v>0</v>
      </c>
      <c r="I33" s="528">
        <v>0</v>
      </c>
      <c r="J33" s="529">
        <v>7.059895727479468E-4</v>
      </c>
      <c r="K33" s="529">
        <v>0</v>
      </c>
      <c r="L33" s="528">
        <v>0</v>
      </c>
      <c r="M33" s="528">
        <v>0</v>
      </c>
      <c r="N33" s="528">
        <v>0</v>
      </c>
      <c r="O33" s="529">
        <v>0</v>
      </c>
      <c r="P33" s="529">
        <v>0</v>
      </c>
      <c r="Q33" s="528">
        <v>0</v>
      </c>
      <c r="R33" s="529">
        <v>0</v>
      </c>
      <c r="S33" s="529">
        <v>0</v>
      </c>
      <c r="T33" s="529">
        <v>0</v>
      </c>
      <c r="U33" s="529">
        <v>7.059895727479468E-4</v>
      </c>
      <c r="V33" s="535"/>
    </row>
    <row r="34" spans="1:22">
      <c r="A34" s="530"/>
      <c r="B34" s="531" t="s">
        <v>774</v>
      </c>
      <c r="C34" s="532">
        <v>1.569703955350643E-3</v>
      </c>
      <c r="D34" s="533">
        <v>0</v>
      </c>
      <c r="E34" s="533">
        <v>1.3472247170828093E-4</v>
      </c>
      <c r="F34" s="533">
        <v>0</v>
      </c>
      <c r="G34" s="533">
        <v>0</v>
      </c>
      <c r="H34" s="533">
        <v>0</v>
      </c>
      <c r="I34" s="533">
        <v>0</v>
      </c>
      <c r="J34" s="534">
        <v>8.7494454576822597E-4</v>
      </c>
      <c r="K34" s="534">
        <v>0</v>
      </c>
      <c r="L34" s="533">
        <v>0</v>
      </c>
      <c r="M34" s="533">
        <v>0</v>
      </c>
      <c r="N34" s="533">
        <v>0</v>
      </c>
      <c r="O34" s="534">
        <v>0</v>
      </c>
      <c r="P34" s="534">
        <v>0</v>
      </c>
      <c r="Q34" s="533">
        <v>0</v>
      </c>
      <c r="R34" s="534">
        <v>0</v>
      </c>
      <c r="S34" s="534">
        <v>0</v>
      </c>
      <c r="T34" s="534">
        <v>0</v>
      </c>
      <c r="U34" s="534">
        <v>8.7494454576822597E-4</v>
      </c>
      <c r="V34" s="535"/>
    </row>
    <row r="35" spans="1:22">
      <c r="A35" s="530"/>
      <c r="B35" s="536" t="s">
        <v>775</v>
      </c>
      <c r="C35" s="537">
        <v>2.7915429851952896E-2</v>
      </c>
      <c r="D35" s="538">
        <v>0</v>
      </c>
      <c r="E35" s="538">
        <v>0</v>
      </c>
      <c r="F35" s="538">
        <v>0</v>
      </c>
      <c r="G35" s="538">
        <v>0</v>
      </c>
      <c r="H35" s="538">
        <v>0</v>
      </c>
      <c r="I35" s="538">
        <v>0</v>
      </c>
      <c r="J35" s="540">
        <v>1.6895497302027919E-2</v>
      </c>
      <c r="K35" s="540">
        <v>0</v>
      </c>
      <c r="L35" s="538">
        <v>0</v>
      </c>
      <c r="M35" s="538">
        <v>0</v>
      </c>
      <c r="N35" s="538">
        <v>0</v>
      </c>
      <c r="O35" s="540">
        <v>0</v>
      </c>
      <c r="P35" s="540">
        <v>0</v>
      </c>
      <c r="Q35" s="538">
        <v>0</v>
      </c>
      <c r="R35" s="540">
        <v>0</v>
      </c>
      <c r="S35" s="540">
        <v>0</v>
      </c>
      <c r="T35" s="540">
        <v>0</v>
      </c>
      <c r="U35" s="540">
        <v>1.6895497302027919E-2</v>
      </c>
      <c r="V35" s="535"/>
    </row>
    <row r="36" spans="1:22">
      <c r="A36" s="530"/>
      <c r="B36" s="508" t="s">
        <v>776</v>
      </c>
      <c r="C36" s="527">
        <v>0</v>
      </c>
      <c r="D36" s="528">
        <v>0</v>
      </c>
      <c r="E36" s="528">
        <v>0</v>
      </c>
      <c r="F36" s="528">
        <v>0</v>
      </c>
      <c r="G36" s="528">
        <v>0</v>
      </c>
      <c r="H36" s="528">
        <v>0</v>
      </c>
      <c r="I36" s="528">
        <v>0</v>
      </c>
      <c r="J36" s="529">
        <v>0</v>
      </c>
      <c r="K36" s="529">
        <v>0</v>
      </c>
      <c r="L36" s="528">
        <v>0</v>
      </c>
      <c r="M36" s="528">
        <v>0</v>
      </c>
      <c r="N36" s="528">
        <v>0</v>
      </c>
      <c r="O36" s="529">
        <v>0</v>
      </c>
      <c r="P36" s="529">
        <v>0</v>
      </c>
      <c r="Q36" s="528">
        <v>0</v>
      </c>
      <c r="R36" s="529">
        <v>0</v>
      </c>
      <c r="S36" s="529">
        <v>0</v>
      </c>
      <c r="T36" s="529">
        <v>0</v>
      </c>
      <c r="U36" s="529">
        <v>0</v>
      </c>
      <c r="V36" s="535"/>
    </row>
    <row r="37" spans="1:22">
      <c r="A37" s="530"/>
      <c r="B37" s="531" t="s">
        <v>777</v>
      </c>
      <c r="C37" s="532">
        <v>0</v>
      </c>
      <c r="D37" s="533">
        <v>0</v>
      </c>
      <c r="E37" s="533">
        <v>1.5829890425723012E-2</v>
      </c>
      <c r="F37" s="533">
        <v>0</v>
      </c>
      <c r="G37" s="533">
        <v>0</v>
      </c>
      <c r="H37" s="533">
        <v>0</v>
      </c>
      <c r="I37" s="533">
        <v>0</v>
      </c>
      <c r="J37" s="534">
        <v>2.8959432148666633E-3</v>
      </c>
      <c r="K37" s="534">
        <v>0</v>
      </c>
      <c r="L37" s="533">
        <v>0</v>
      </c>
      <c r="M37" s="533">
        <v>0</v>
      </c>
      <c r="N37" s="533">
        <v>0</v>
      </c>
      <c r="O37" s="534">
        <v>0</v>
      </c>
      <c r="P37" s="534">
        <v>0</v>
      </c>
      <c r="Q37" s="533">
        <v>0</v>
      </c>
      <c r="R37" s="534">
        <v>0</v>
      </c>
      <c r="S37" s="534">
        <v>0</v>
      </c>
      <c r="T37" s="534">
        <v>0</v>
      </c>
      <c r="U37" s="534">
        <v>2.8959432148666633E-3</v>
      </c>
      <c r="V37" s="535"/>
    </row>
    <row r="38" spans="1:22">
      <c r="A38" s="530"/>
      <c r="B38" s="536" t="s">
        <v>778</v>
      </c>
      <c r="C38" s="537">
        <v>0</v>
      </c>
      <c r="D38" s="538">
        <v>0</v>
      </c>
      <c r="E38" s="538">
        <v>0</v>
      </c>
      <c r="F38" s="538">
        <v>0</v>
      </c>
      <c r="G38" s="538">
        <v>0</v>
      </c>
      <c r="H38" s="538">
        <v>0</v>
      </c>
      <c r="I38" s="538">
        <v>0</v>
      </c>
      <c r="J38" s="540">
        <v>0</v>
      </c>
      <c r="K38" s="540">
        <v>0</v>
      </c>
      <c r="L38" s="538">
        <v>0</v>
      </c>
      <c r="M38" s="538">
        <v>0</v>
      </c>
      <c r="N38" s="538">
        <v>0</v>
      </c>
      <c r="O38" s="540">
        <v>0</v>
      </c>
      <c r="P38" s="540">
        <v>0</v>
      </c>
      <c r="Q38" s="538">
        <v>0</v>
      </c>
      <c r="R38" s="540">
        <v>0</v>
      </c>
      <c r="S38" s="540">
        <v>0</v>
      </c>
      <c r="T38" s="540">
        <v>0</v>
      </c>
      <c r="U38" s="540">
        <v>0</v>
      </c>
      <c r="V38" s="535"/>
    </row>
    <row r="39" spans="1:22">
      <c r="A39" s="530"/>
      <c r="B39" s="508" t="s">
        <v>779</v>
      </c>
      <c r="C39" s="527">
        <v>0</v>
      </c>
      <c r="D39" s="528">
        <v>0</v>
      </c>
      <c r="E39" s="528">
        <v>0</v>
      </c>
      <c r="F39" s="528">
        <v>0</v>
      </c>
      <c r="G39" s="528">
        <v>0</v>
      </c>
      <c r="H39" s="528">
        <v>0</v>
      </c>
      <c r="I39" s="528">
        <v>0</v>
      </c>
      <c r="J39" s="529">
        <v>0</v>
      </c>
      <c r="K39" s="529">
        <v>0</v>
      </c>
      <c r="L39" s="528">
        <v>0</v>
      </c>
      <c r="M39" s="528">
        <v>0</v>
      </c>
      <c r="N39" s="528">
        <v>0</v>
      </c>
      <c r="O39" s="529">
        <v>0</v>
      </c>
      <c r="P39" s="529">
        <v>0</v>
      </c>
      <c r="Q39" s="528">
        <v>0</v>
      </c>
      <c r="R39" s="529">
        <v>0</v>
      </c>
      <c r="S39" s="529">
        <v>0</v>
      </c>
      <c r="T39" s="529">
        <v>0</v>
      </c>
      <c r="U39" s="529">
        <v>0</v>
      </c>
      <c r="V39" s="535"/>
    </row>
    <row r="40" spans="1:22">
      <c r="A40" s="530"/>
      <c r="B40" s="531" t="s">
        <v>780</v>
      </c>
      <c r="C40" s="532">
        <v>0</v>
      </c>
      <c r="D40" s="533">
        <v>0</v>
      </c>
      <c r="E40" s="533">
        <v>0</v>
      </c>
      <c r="F40" s="533">
        <v>0</v>
      </c>
      <c r="G40" s="533">
        <v>0</v>
      </c>
      <c r="H40" s="533">
        <v>0</v>
      </c>
      <c r="I40" s="533">
        <v>0</v>
      </c>
      <c r="J40" s="534">
        <v>0</v>
      </c>
      <c r="K40" s="534">
        <v>0</v>
      </c>
      <c r="L40" s="533">
        <v>0</v>
      </c>
      <c r="M40" s="533">
        <v>0</v>
      </c>
      <c r="N40" s="533">
        <v>0</v>
      </c>
      <c r="O40" s="534">
        <v>0</v>
      </c>
      <c r="P40" s="534">
        <v>0</v>
      </c>
      <c r="Q40" s="533">
        <v>0</v>
      </c>
      <c r="R40" s="534">
        <v>0</v>
      </c>
      <c r="S40" s="534">
        <v>0</v>
      </c>
      <c r="T40" s="534">
        <v>0</v>
      </c>
      <c r="U40" s="534">
        <v>0</v>
      </c>
      <c r="V40" s="535"/>
    </row>
    <row r="41" spans="1:22" ht="15.75" thickBot="1">
      <c r="A41" s="546"/>
      <c r="B41" s="547" t="s">
        <v>781</v>
      </c>
      <c r="C41" s="548">
        <v>0</v>
      </c>
      <c r="D41" s="549">
        <v>0</v>
      </c>
      <c r="E41" s="549">
        <v>0</v>
      </c>
      <c r="F41" s="549">
        <v>0</v>
      </c>
      <c r="G41" s="549">
        <v>0</v>
      </c>
      <c r="H41" s="549">
        <v>0</v>
      </c>
      <c r="I41" s="549">
        <v>0</v>
      </c>
      <c r="J41" s="550">
        <v>0</v>
      </c>
      <c r="K41" s="550">
        <v>0</v>
      </c>
      <c r="L41" s="549">
        <v>0</v>
      </c>
      <c r="M41" s="549">
        <v>0</v>
      </c>
      <c r="N41" s="549">
        <v>0</v>
      </c>
      <c r="O41" s="550">
        <v>0</v>
      </c>
      <c r="P41" s="550">
        <v>0</v>
      </c>
      <c r="Q41" s="549">
        <v>0</v>
      </c>
      <c r="R41" s="550">
        <v>0</v>
      </c>
      <c r="S41" s="550">
        <v>0</v>
      </c>
      <c r="T41" s="550">
        <v>0</v>
      </c>
      <c r="U41" s="550">
        <v>0</v>
      </c>
      <c r="V41" s="535"/>
    </row>
    <row r="42" spans="1:22">
      <c r="A42" s="551" t="s">
        <v>84</v>
      </c>
      <c r="B42" s="531" t="s">
        <v>746</v>
      </c>
      <c r="C42" s="532">
        <v>0.89366472606011671</v>
      </c>
      <c r="D42" s="533">
        <v>0.54149362477231333</v>
      </c>
      <c r="E42" s="533">
        <v>0.73883148397692344</v>
      </c>
      <c r="F42" s="533">
        <v>0.79209699900918606</v>
      </c>
      <c r="G42" s="533">
        <v>0.66740986973677097</v>
      </c>
      <c r="H42" s="533">
        <v>0.75966535135951008</v>
      </c>
      <c r="I42" s="533">
        <v>0.67551573474918425</v>
      </c>
      <c r="J42" s="534">
        <v>0.77083711168038205</v>
      </c>
      <c r="K42" s="534">
        <v>0</v>
      </c>
      <c r="L42" s="533">
        <v>0.61227496017436633</v>
      </c>
      <c r="M42" s="533">
        <v>0.6486122117633415</v>
      </c>
      <c r="N42" s="533">
        <v>0.63417897936717937</v>
      </c>
      <c r="O42" s="534">
        <v>0.6338642741559849</v>
      </c>
      <c r="P42" s="534">
        <v>0</v>
      </c>
      <c r="Q42" s="533">
        <v>0</v>
      </c>
      <c r="R42" s="534">
        <v>0</v>
      </c>
      <c r="S42" s="534">
        <v>0</v>
      </c>
      <c r="T42" s="534">
        <v>0</v>
      </c>
      <c r="U42" s="534">
        <v>0.72838120888135116</v>
      </c>
      <c r="V42" s="535"/>
    </row>
    <row r="43" spans="1:22">
      <c r="A43" s="530"/>
      <c r="B43" s="531" t="s">
        <v>747</v>
      </c>
      <c r="C43" s="532">
        <v>0.89150451108744633</v>
      </c>
      <c r="D43" s="533">
        <v>0.51968561846672812</v>
      </c>
      <c r="E43" s="533">
        <v>0.72733086489682297</v>
      </c>
      <c r="F43" s="533">
        <v>0.78059527722226241</v>
      </c>
      <c r="G43" s="533">
        <v>0.623012042071033</v>
      </c>
      <c r="H43" s="533">
        <v>0.71463441069996314</v>
      </c>
      <c r="I43" s="533">
        <v>0.64987289114860181</v>
      </c>
      <c r="J43" s="534">
        <v>0.75675035017778258</v>
      </c>
      <c r="K43" s="534">
        <v>0</v>
      </c>
      <c r="L43" s="533">
        <v>0.60777673040667923</v>
      </c>
      <c r="M43" s="533">
        <v>0.62943070349641927</v>
      </c>
      <c r="N43" s="533">
        <v>0.60894290292766284</v>
      </c>
      <c r="O43" s="534">
        <v>0.6130631408663122</v>
      </c>
      <c r="P43" s="534">
        <v>0</v>
      </c>
      <c r="Q43" s="533">
        <v>0</v>
      </c>
      <c r="R43" s="534">
        <v>0</v>
      </c>
      <c r="S43" s="534">
        <v>0</v>
      </c>
      <c r="T43" s="534">
        <v>0</v>
      </c>
      <c r="U43" s="534">
        <v>0.71251401531584635</v>
      </c>
      <c r="V43" s="535"/>
    </row>
    <row r="44" spans="1:22">
      <c r="A44" s="530"/>
      <c r="B44" s="536" t="s">
        <v>748</v>
      </c>
      <c r="C44" s="537">
        <v>-0.21602149726703823</v>
      </c>
      <c r="D44" s="538">
        <v>-2.1808006305585215</v>
      </c>
      <c r="E44" s="538">
        <v>-1.1500619080100472</v>
      </c>
      <c r="F44" s="538">
        <v>-1.1501721786923658</v>
      </c>
      <c r="G44" s="538">
        <v>-4.4397827665737966</v>
      </c>
      <c r="H44" s="538">
        <v>-4.5030940659546932</v>
      </c>
      <c r="I44" s="538">
        <v>-2.5642843600582443</v>
      </c>
      <c r="J44" s="540">
        <v>-1.4086761502599465</v>
      </c>
      <c r="K44" s="540">
        <v>0</v>
      </c>
      <c r="L44" s="538">
        <v>-0.44982297676871008</v>
      </c>
      <c r="M44" s="538">
        <v>-1.918150826692222</v>
      </c>
      <c r="N44" s="538">
        <v>-2.523607643951653</v>
      </c>
      <c r="O44" s="540">
        <v>-2.0801133289672702</v>
      </c>
      <c r="P44" s="540">
        <v>0</v>
      </c>
      <c r="Q44" s="538">
        <v>0</v>
      </c>
      <c r="R44" s="540">
        <v>0</v>
      </c>
      <c r="S44" s="540">
        <v>0</v>
      </c>
      <c r="T44" s="540">
        <v>0</v>
      </c>
      <c r="U44" s="540">
        <v>-1.5867193565504811</v>
      </c>
      <c r="V44" s="535"/>
    </row>
    <row r="45" spans="1:22">
      <c r="A45" s="530"/>
      <c r="B45" s="508" t="s">
        <v>749</v>
      </c>
      <c r="C45" s="527">
        <v>1.4300287546730196E-2</v>
      </c>
      <c r="D45" s="528">
        <v>0.10822586520947176</v>
      </c>
      <c r="E45" s="528">
        <v>4.4597738661725693E-2</v>
      </c>
      <c r="F45" s="528">
        <v>2.3997850437469562E-2</v>
      </c>
      <c r="G45" s="528">
        <v>9.5616453164693804E-2</v>
      </c>
      <c r="H45" s="528">
        <v>1.8854173404920543E-2</v>
      </c>
      <c r="I45" s="528">
        <v>3.2907471931862178E-2</v>
      </c>
      <c r="J45" s="529">
        <v>3.8624624999055411E-2</v>
      </c>
      <c r="K45" s="529">
        <v>0</v>
      </c>
      <c r="L45" s="528">
        <v>0.10834571982750002</v>
      </c>
      <c r="M45" s="528">
        <v>4.7137445155304714E-2</v>
      </c>
      <c r="N45" s="528">
        <v>0.10668875041659513</v>
      </c>
      <c r="O45" s="529">
        <v>9.3992192026109297E-2</v>
      </c>
      <c r="P45" s="529">
        <v>0</v>
      </c>
      <c r="Q45" s="528">
        <v>0</v>
      </c>
      <c r="R45" s="529">
        <v>0</v>
      </c>
      <c r="S45" s="529">
        <v>0</v>
      </c>
      <c r="T45" s="529">
        <v>0</v>
      </c>
      <c r="U45" s="529">
        <v>5.5786276070938438E-2</v>
      </c>
      <c r="V45" s="535"/>
    </row>
    <row r="46" spans="1:22">
      <c r="A46" s="530"/>
      <c r="B46" s="531" t="s">
        <v>750</v>
      </c>
      <c r="C46" s="532">
        <v>1.2610384540011879E-2</v>
      </c>
      <c r="D46" s="533">
        <v>0.12386985428229619</v>
      </c>
      <c r="E46" s="533">
        <v>5.030233344252924E-2</v>
      </c>
      <c r="F46" s="533">
        <v>2.1274225265022588E-2</v>
      </c>
      <c r="G46" s="533">
        <v>0.13641329200751995</v>
      </c>
      <c r="H46" s="533">
        <v>5.4531659838286617E-2</v>
      </c>
      <c r="I46" s="533">
        <v>4.5181418996995612E-2</v>
      </c>
      <c r="J46" s="534">
        <v>4.6858237727381326E-2</v>
      </c>
      <c r="K46" s="534">
        <v>0</v>
      </c>
      <c r="L46" s="533">
        <v>0.10517775383786696</v>
      </c>
      <c r="M46" s="533">
        <v>5.9281659344847644E-2</v>
      </c>
      <c r="N46" s="533">
        <v>0.13056292513614332</v>
      </c>
      <c r="O46" s="534">
        <v>0.11162237650290259</v>
      </c>
      <c r="P46" s="534">
        <v>0</v>
      </c>
      <c r="Q46" s="533">
        <v>0</v>
      </c>
      <c r="R46" s="534">
        <v>0</v>
      </c>
      <c r="S46" s="534">
        <v>0</v>
      </c>
      <c r="T46" s="534">
        <v>0</v>
      </c>
      <c r="U46" s="534">
        <v>6.6796881839457922E-2</v>
      </c>
      <c r="V46" s="535"/>
    </row>
    <row r="47" spans="1:22">
      <c r="A47" s="530"/>
      <c r="B47" s="536" t="s">
        <v>751</v>
      </c>
      <c r="C47" s="537">
        <v>-0.16899030067183163</v>
      </c>
      <c r="D47" s="538">
        <v>1.5643989072824425</v>
      </c>
      <c r="E47" s="538">
        <v>0.57045947808035469</v>
      </c>
      <c r="F47" s="538">
        <v>-0.2723625172446974</v>
      </c>
      <c r="G47" s="538">
        <v>4.0796838842826144</v>
      </c>
      <c r="H47" s="538">
        <v>3.5677486433366075</v>
      </c>
      <c r="I47" s="538">
        <v>1.2273947065133433</v>
      </c>
      <c r="J47" s="540">
        <v>0.82336127283259142</v>
      </c>
      <c r="K47" s="540">
        <v>0</v>
      </c>
      <c r="L47" s="538">
        <v>-0.31679659896330647</v>
      </c>
      <c r="M47" s="538">
        <v>1.214421418954293</v>
      </c>
      <c r="N47" s="538">
        <v>2.3874174719548185</v>
      </c>
      <c r="O47" s="540">
        <v>1.7630184476793294</v>
      </c>
      <c r="P47" s="540">
        <v>0</v>
      </c>
      <c r="Q47" s="538">
        <v>0</v>
      </c>
      <c r="R47" s="540">
        <v>0</v>
      </c>
      <c r="S47" s="540">
        <v>0</v>
      </c>
      <c r="T47" s="540">
        <v>0</v>
      </c>
      <c r="U47" s="540">
        <v>1.1010605768519484</v>
      </c>
      <c r="V47" s="535"/>
    </row>
    <row r="48" spans="1:22">
      <c r="A48" s="530"/>
      <c r="B48" s="508" t="s">
        <v>752</v>
      </c>
      <c r="C48" s="527">
        <v>8.5992806708807309E-2</v>
      </c>
      <c r="D48" s="528">
        <v>0.35028051001821492</v>
      </c>
      <c r="E48" s="528">
        <v>0.21208073651408599</v>
      </c>
      <c r="F48" s="528">
        <v>0.18390515055334442</v>
      </c>
      <c r="G48" s="528">
        <v>0.23673044700286472</v>
      </c>
      <c r="H48" s="528">
        <v>0.22148047523556935</v>
      </c>
      <c r="I48" s="528">
        <v>0.22858248990653171</v>
      </c>
      <c r="J48" s="529">
        <v>0.18652849251509449</v>
      </c>
      <c r="K48" s="529">
        <v>0</v>
      </c>
      <c r="L48" s="528">
        <v>0.2793793199981337</v>
      </c>
      <c r="M48" s="528">
        <v>0.30391692599107023</v>
      </c>
      <c r="N48" s="528">
        <v>0.24227489555665527</v>
      </c>
      <c r="O48" s="529">
        <v>0.26154083940450795</v>
      </c>
      <c r="P48" s="529">
        <v>0</v>
      </c>
      <c r="Q48" s="528">
        <v>0</v>
      </c>
      <c r="R48" s="529">
        <v>0</v>
      </c>
      <c r="S48" s="529">
        <v>0</v>
      </c>
      <c r="T48" s="529">
        <v>0</v>
      </c>
      <c r="U48" s="529">
        <v>0.20977921116722781</v>
      </c>
      <c r="V48" s="535"/>
    </row>
    <row r="49" spans="1:22">
      <c r="A49" s="530"/>
      <c r="B49" s="531" t="s">
        <v>753</v>
      </c>
      <c r="C49" s="532">
        <v>8.9096065882081285E-2</v>
      </c>
      <c r="D49" s="533">
        <v>0.35597383749436151</v>
      </c>
      <c r="E49" s="533">
        <v>0.21791761234235657</v>
      </c>
      <c r="F49" s="533">
        <v>0.19732275656916212</v>
      </c>
      <c r="G49" s="533">
        <v>0.23291499415680098</v>
      </c>
      <c r="H49" s="533">
        <v>0.23083392946175024</v>
      </c>
      <c r="I49" s="533">
        <v>0.23908019412988213</v>
      </c>
      <c r="J49" s="534">
        <v>0.19177140769126266</v>
      </c>
      <c r="K49" s="534">
        <v>0</v>
      </c>
      <c r="L49" s="533">
        <v>0.28701858335577701</v>
      </c>
      <c r="M49" s="533">
        <v>0.31032978275260276</v>
      </c>
      <c r="N49" s="533">
        <v>0.24135764297540444</v>
      </c>
      <c r="O49" s="534">
        <v>0.26298478350619697</v>
      </c>
      <c r="P49" s="534">
        <v>0</v>
      </c>
      <c r="Q49" s="533">
        <v>0</v>
      </c>
      <c r="R49" s="534">
        <v>0</v>
      </c>
      <c r="S49" s="534">
        <v>0</v>
      </c>
      <c r="T49" s="534">
        <v>0</v>
      </c>
      <c r="U49" s="534">
        <v>0.21369554940362359</v>
      </c>
      <c r="V49" s="535"/>
    </row>
    <row r="50" spans="1:22">
      <c r="A50" s="530"/>
      <c r="B50" s="536" t="s">
        <v>754</v>
      </c>
      <c r="C50" s="537">
        <v>0.31032591732739756</v>
      </c>
      <c r="D50" s="538">
        <v>0.56933274761465924</v>
      </c>
      <c r="E50" s="538">
        <v>0.58368758282705824</v>
      </c>
      <c r="F50" s="538">
        <v>1.3417606015817707</v>
      </c>
      <c r="G50" s="538">
        <v>-0.38154528460637438</v>
      </c>
      <c r="H50" s="538">
        <v>0.93534542261808906</v>
      </c>
      <c r="I50" s="538">
        <v>1.0497704223350417</v>
      </c>
      <c r="J50" s="540">
        <v>0.5242915176168178</v>
      </c>
      <c r="K50" s="540">
        <v>0</v>
      </c>
      <c r="L50" s="538">
        <v>0.76392633576433111</v>
      </c>
      <c r="M50" s="538">
        <v>0.6412856761532526</v>
      </c>
      <c r="N50" s="538">
        <v>-9.1725258125083253E-2</v>
      </c>
      <c r="O50" s="540">
        <v>0.14439441016890209</v>
      </c>
      <c r="P50" s="540">
        <v>0</v>
      </c>
      <c r="Q50" s="538">
        <v>0</v>
      </c>
      <c r="R50" s="540">
        <v>0</v>
      </c>
      <c r="S50" s="540">
        <v>0</v>
      </c>
      <c r="T50" s="540">
        <v>0</v>
      </c>
      <c r="U50" s="540">
        <v>0.39163382363957833</v>
      </c>
      <c r="V50" s="535"/>
    </row>
    <row r="51" spans="1:22">
      <c r="A51" s="530"/>
      <c r="B51" s="508" t="s">
        <v>755</v>
      </c>
      <c r="C51" s="527">
        <v>5.2701490743337575E-4</v>
      </c>
      <c r="D51" s="528">
        <v>0</v>
      </c>
      <c r="E51" s="528">
        <v>1.8291784225375838E-3</v>
      </c>
      <c r="F51" s="528">
        <v>0</v>
      </c>
      <c r="G51" s="528">
        <v>2.432300956705043E-4</v>
      </c>
      <c r="H51" s="528">
        <v>0</v>
      </c>
      <c r="I51" s="528">
        <v>6.2994303412421876E-2</v>
      </c>
      <c r="J51" s="529">
        <v>1.3644555779737479E-3</v>
      </c>
      <c r="K51" s="529">
        <v>0</v>
      </c>
      <c r="L51" s="528">
        <v>0</v>
      </c>
      <c r="M51" s="528">
        <v>3.3341709028354949E-4</v>
      </c>
      <c r="N51" s="528">
        <v>1.6857374659570244E-2</v>
      </c>
      <c r="O51" s="529">
        <v>1.0602694413397836E-2</v>
      </c>
      <c r="P51" s="529">
        <v>0</v>
      </c>
      <c r="Q51" s="528">
        <v>0</v>
      </c>
      <c r="R51" s="529">
        <v>0</v>
      </c>
      <c r="S51" s="529">
        <v>0</v>
      </c>
      <c r="T51" s="529">
        <v>0</v>
      </c>
      <c r="U51" s="529">
        <v>4.2279267385324044E-3</v>
      </c>
      <c r="V51" s="535"/>
    </row>
    <row r="52" spans="1:22">
      <c r="A52" s="530"/>
      <c r="B52" s="531" t="s">
        <v>756</v>
      </c>
      <c r="C52" s="532">
        <v>5.4081398581426682E-4</v>
      </c>
      <c r="D52" s="533">
        <v>0</v>
      </c>
      <c r="E52" s="533">
        <v>1.7815029097880859E-3</v>
      </c>
      <c r="F52" s="533">
        <v>0</v>
      </c>
      <c r="G52" s="533">
        <v>3.8107819724607487E-5</v>
      </c>
      <c r="H52" s="533">
        <v>0</v>
      </c>
      <c r="I52" s="533">
        <v>6.5865495724520454E-2</v>
      </c>
      <c r="J52" s="534">
        <v>1.3416845073853548E-3</v>
      </c>
      <c r="K52" s="534">
        <v>0</v>
      </c>
      <c r="L52" s="533">
        <v>0</v>
      </c>
      <c r="M52" s="533">
        <v>2.8585183847866643E-4</v>
      </c>
      <c r="N52" s="533">
        <v>1.6842539213926179E-2</v>
      </c>
      <c r="O52" s="534">
        <v>1.0730956212559085E-2</v>
      </c>
      <c r="P52" s="534">
        <v>0</v>
      </c>
      <c r="Q52" s="533">
        <v>0</v>
      </c>
      <c r="R52" s="534">
        <v>0</v>
      </c>
      <c r="S52" s="534">
        <v>0</v>
      </c>
      <c r="T52" s="534">
        <v>0</v>
      </c>
      <c r="U52" s="534">
        <v>4.232317356683871E-3</v>
      </c>
      <c r="V52" s="535"/>
    </row>
    <row r="53" spans="1:22">
      <c r="A53" s="530"/>
      <c r="B53" s="536" t="s">
        <v>757</v>
      </c>
      <c r="C53" s="537">
        <v>1.3799078380891073E-3</v>
      </c>
      <c r="D53" s="538">
        <v>0</v>
      </c>
      <c r="E53" s="538">
        <v>-4.767551274949787E-3</v>
      </c>
      <c r="F53" s="538">
        <v>0</v>
      </c>
      <c r="G53" s="538">
        <v>-2.0512227594589681E-2</v>
      </c>
      <c r="H53" s="538">
        <v>0</v>
      </c>
      <c r="I53" s="538">
        <v>0.28711923120985777</v>
      </c>
      <c r="J53" s="540">
        <v>-2.2771070588393193E-3</v>
      </c>
      <c r="K53" s="540">
        <v>0</v>
      </c>
      <c r="L53" s="538">
        <v>0</v>
      </c>
      <c r="M53" s="538">
        <v>-4.756525180488305E-3</v>
      </c>
      <c r="N53" s="538">
        <v>-1.4835445644064554E-3</v>
      </c>
      <c r="O53" s="540">
        <v>1.2826179916124864E-2</v>
      </c>
      <c r="P53" s="540">
        <v>0</v>
      </c>
      <c r="Q53" s="538">
        <v>0</v>
      </c>
      <c r="R53" s="540">
        <v>0</v>
      </c>
      <c r="S53" s="540">
        <v>0</v>
      </c>
      <c r="T53" s="540">
        <v>0</v>
      </c>
      <c r="U53" s="540">
        <v>4.3906181514665951E-4</v>
      </c>
      <c r="V53" s="535"/>
    </row>
    <row r="54" spans="1:22">
      <c r="A54" s="530"/>
      <c r="B54" s="508" t="s">
        <v>758</v>
      </c>
      <c r="C54" s="527">
        <v>4.1606440060529664E-5</v>
      </c>
      <c r="D54" s="528">
        <v>0</v>
      </c>
      <c r="E54" s="528">
        <v>2.660862424727334E-3</v>
      </c>
      <c r="F54" s="528">
        <v>0</v>
      </c>
      <c r="G54" s="528">
        <v>0</v>
      </c>
      <c r="H54" s="528">
        <v>0</v>
      </c>
      <c r="I54" s="528">
        <v>0</v>
      </c>
      <c r="J54" s="529">
        <v>9.6772913785677045E-4</v>
      </c>
      <c r="K54" s="529">
        <v>0</v>
      </c>
      <c r="L54" s="528">
        <v>0</v>
      </c>
      <c r="M54" s="528">
        <v>0</v>
      </c>
      <c r="N54" s="528">
        <v>0</v>
      </c>
      <c r="O54" s="529">
        <v>0</v>
      </c>
      <c r="P54" s="529">
        <v>0</v>
      </c>
      <c r="Q54" s="528">
        <v>0</v>
      </c>
      <c r="R54" s="529">
        <v>0</v>
      </c>
      <c r="S54" s="529">
        <v>0</v>
      </c>
      <c r="T54" s="529">
        <v>0</v>
      </c>
      <c r="U54" s="529">
        <v>6.6777321261488455E-4</v>
      </c>
      <c r="V54" s="535"/>
    </row>
    <row r="55" spans="1:22">
      <c r="A55" s="530"/>
      <c r="B55" s="531" t="s">
        <v>759</v>
      </c>
      <c r="C55" s="532">
        <v>4.1016791058947203E-5</v>
      </c>
      <c r="D55" s="533">
        <v>0</v>
      </c>
      <c r="E55" s="533">
        <v>2.5515298085243281E-3</v>
      </c>
      <c r="F55" s="533">
        <v>0</v>
      </c>
      <c r="G55" s="533">
        <v>0</v>
      </c>
      <c r="H55" s="533">
        <v>0</v>
      </c>
      <c r="I55" s="533">
        <v>0</v>
      </c>
      <c r="J55" s="534">
        <v>9.2849814721989289E-4</v>
      </c>
      <c r="K55" s="534">
        <v>0</v>
      </c>
      <c r="L55" s="533">
        <v>0</v>
      </c>
      <c r="M55" s="533">
        <v>0</v>
      </c>
      <c r="N55" s="533">
        <v>0</v>
      </c>
      <c r="O55" s="534">
        <v>0</v>
      </c>
      <c r="P55" s="534">
        <v>0</v>
      </c>
      <c r="Q55" s="533">
        <v>0</v>
      </c>
      <c r="R55" s="534">
        <v>0</v>
      </c>
      <c r="S55" s="534">
        <v>0</v>
      </c>
      <c r="T55" s="534">
        <v>0</v>
      </c>
      <c r="U55" s="534">
        <v>6.4264559878552307E-4</v>
      </c>
      <c r="V55" s="535"/>
    </row>
    <row r="56" spans="1:22">
      <c r="A56" s="530"/>
      <c r="B56" s="536" t="s">
        <v>760</v>
      </c>
      <c r="C56" s="537">
        <v>-5.8964900158246011E-5</v>
      </c>
      <c r="D56" s="538">
        <v>0</v>
      </c>
      <c r="E56" s="538">
        <v>-1.093326162030059E-2</v>
      </c>
      <c r="F56" s="538">
        <v>0</v>
      </c>
      <c r="G56" s="538">
        <v>0</v>
      </c>
      <c r="H56" s="538">
        <v>0</v>
      </c>
      <c r="I56" s="538">
        <v>0</v>
      </c>
      <c r="J56" s="540">
        <v>-3.9230990636877558E-3</v>
      </c>
      <c r="K56" s="540">
        <v>0</v>
      </c>
      <c r="L56" s="538">
        <v>0</v>
      </c>
      <c r="M56" s="538">
        <v>0</v>
      </c>
      <c r="N56" s="538">
        <v>0</v>
      </c>
      <c r="O56" s="540">
        <v>0</v>
      </c>
      <c r="P56" s="540">
        <v>0</v>
      </c>
      <c r="Q56" s="538">
        <v>0</v>
      </c>
      <c r="R56" s="540">
        <v>0</v>
      </c>
      <c r="S56" s="540">
        <v>0</v>
      </c>
      <c r="T56" s="540">
        <v>0</v>
      </c>
      <c r="U56" s="540">
        <v>-2.5127613829361477E-3</v>
      </c>
      <c r="V56" s="535"/>
    </row>
    <row r="57" spans="1:22">
      <c r="A57" s="530"/>
      <c r="B57" s="508" t="s">
        <v>761</v>
      </c>
      <c r="C57" s="527">
        <v>5.473558336851903E-3</v>
      </c>
      <c r="D57" s="528">
        <v>0</v>
      </c>
      <c r="E57" s="528">
        <v>0</v>
      </c>
      <c r="F57" s="528">
        <v>0</v>
      </c>
      <c r="G57" s="528">
        <v>0</v>
      </c>
      <c r="H57" s="528">
        <v>0</v>
      </c>
      <c r="I57" s="528">
        <v>0</v>
      </c>
      <c r="J57" s="529">
        <v>1.6775860896375053E-3</v>
      </c>
      <c r="K57" s="529">
        <v>0</v>
      </c>
      <c r="L57" s="528">
        <v>0</v>
      </c>
      <c r="M57" s="528">
        <v>0</v>
      </c>
      <c r="N57" s="528">
        <v>0</v>
      </c>
      <c r="O57" s="529">
        <v>0</v>
      </c>
      <c r="P57" s="529">
        <v>0</v>
      </c>
      <c r="Q57" s="528">
        <v>0</v>
      </c>
      <c r="R57" s="529">
        <v>0</v>
      </c>
      <c r="S57" s="529">
        <v>0</v>
      </c>
      <c r="T57" s="529">
        <v>0</v>
      </c>
      <c r="U57" s="529">
        <v>1.1576039293353195E-3</v>
      </c>
      <c r="V57" s="535"/>
    </row>
    <row r="58" spans="1:22">
      <c r="A58" s="530"/>
      <c r="B58" s="531" t="s">
        <v>762</v>
      </c>
      <c r="C58" s="532">
        <v>6.2072077135873439E-3</v>
      </c>
      <c r="D58" s="533">
        <v>4.706897566141717E-4</v>
      </c>
      <c r="E58" s="533">
        <v>1.1615659997885688E-4</v>
      </c>
      <c r="F58" s="533">
        <v>8.0774094355283465E-4</v>
      </c>
      <c r="G58" s="533">
        <v>7.6215639449214983E-3</v>
      </c>
      <c r="H58" s="533">
        <v>0</v>
      </c>
      <c r="I58" s="533">
        <v>0</v>
      </c>
      <c r="J58" s="534">
        <v>2.3498217489682054E-3</v>
      </c>
      <c r="K58" s="534">
        <v>0</v>
      </c>
      <c r="L58" s="533">
        <v>2.6932399676811204E-5</v>
      </c>
      <c r="M58" s="533">
        <v>6.7200256765160182E-4</v>
      </c>
      <c r="N58" s="533">
        <v>2.2939897468632182E-3</v>
      </c>
      <c r="O58" s="534">
        <v>1.5987429120291187E-3</v>
      </c>
      <c r="P58" s="534">
        <v>0</v>
      </c>
      <c r="Q58" s="533">
        <v>0</v>
      </c>
      <c r="R58" s="534">
        <v>0</v>
      </c>
      <c r="S58" s="534">
        <v>0</v>
      </c>
      <c r="T58" s="534">
        <v>0</v>
      </c>
      <c r="U58" s="534">
        <v>2.1185904856027282E-3</v>
      </c>
      <c r="V58" s="535"/>
    </row>
    <row r="59" spans="1:22" ht="15.75" thickBot="1">
      <c r="A59" s="530"/>
      <c r="B59" s="542" t="s">
        <v>763</v>
      </c>
      <c r="C59" s="543">
        <v>7.3364937673544087E-2</v>
      </c>
      <c r="D59" s="544">
        <v>0</v>
      </c>
      <c r="E59" s="544">
        <v>0</v>
      </c>
      <c r="F59" s="544">
        <v>0</v>
      </c>
      <c r="G59" s="544">
        <v>0</v>
      </c>
      <c r="H59" s="544">
        <v>0</v>
      </c>
      <c r="I59" s="544">
        <v>0</v>
      </c>
      <c r="J59" s="545">
        <v>6.7223565933070009E-2</v>
      </c>
      <c r="K59" s="545">
        <v>0</v>
      </c>
      <c r="L59" s="544">
        <v>0</v>
      </c>
      <c r="M59" s="544">
        <v>0</v>
      </c>
      <c r="N59" s="544">
        <v>0</v>
      </c>
      <c r="O59" s="545">
        <v>0</v>
      </c>
      <c r="P59" s="545">
        <v>0</v>
      </c>
      <c r="Q59" s="544">
        <v>0</v>
      </c>
      <c r="R59" s="545">
        <v>0</v>
      </c>
      <c r="S59" s="545">
        <v>0</v>
      </c>
      <c r="T59" s="545">
        <v>0</v>
      </c>
      <c r="U59" s="545">
        <v>9.6098655626740873E-2</v>
      </c>
      <c r="V59" s="535"/>
    </row>
    <row r="60" spans="1:22" ht="15.75" thickTop="1">
      <c r="A60" s="530"/>
      <c r="B60" s="531" t="s">
        <v>764</v>
      </c>
      <c r="C60" s="532">
        <v>0.683090047156241</v>
      </c>
      <c r="D60" s="533">
        <v>0.70930865541643984</v>
      </c>
      <c r="E60" s="533">
        <v>0.31324086089464731</v>
      </c>
      <c r="F60" s="533">
        <v>0.13367309549981679</v>
      </c>
      <c r="G60" s="533">
        <v>0.14759192128430865</v>
      </c>
      <c r="H60" s="533">
        <v>0.70687575392038604</v>
      </c>
      <c r="I60" s="533">
        <v>0</v>
      </c>
      <c r="J60" s="534">
        <v>0.44490416635592206</v>
      </c>
      <c r="K60" s="534">
        <v>0</v>
      </c>
      <c r="L60" s="533">
        <v>0</v>
      </c>
      <c r="M60" s="533">
        <v>0</v>
      </c>
      <c r="N60" s="533">
        <v>0</v>
      </c>
      <c r="O60" s="534">
        <v>0</v>
      </c>
      <c r="P60" s="534">
        <v>0</v>
      </c>
      <c r="Q60" s="533">
        <v>0</v>
      </c>
      <c r="R60" s="534">
        <v>0</v>
      </c>
      <c r="S60" s="534">
        <v>0</v>
      </c>
      <c r="T60" s="534">
        <v>0</v>
      </c>
      <c r="U60" s="534">
        <v>0.44490416635592206</v>
      </c>
      <c r="V60" s="535"/>
    </row>
    <row r="61" spans="1:22">
      <c r="A61" s="530"/>
      <c r="B61" s="531" t="s">
        <v>765</v>
      </c>
      <c r="C61" s="532">
        <v>0.67103715972740263</v>
      </c>
      <c r="D61" s="533">
        <v>0.69201930737147943</v>
      </c>
      <c r="E61" s="533">
        <v>0.31352415966386554</v>
      </c>
      <c r="F61" s="533">
        <v>0.14736222788782113</v>
      </c>
      <c r="G61" s="533">
        <v>0.16352096208451644</v>
      </c>
      <c r="H61" s="533">
        <v>0.6728538283062645</v>
      </c>
      <c r="I61" s="533">
        <v>0</v>
      </c>
      <c r="J61" s="534">
        <v>0.44341430872614263</v>
      </c>
      <c r="K61" s="534">
        <v>0</v>
      </c>
      <c r="L61" s="533">
        <v>0</v>
      </c>
      <c r="M61" s="533">
        <v>0</v>
      </c>
      <c r="N61" s="533">
        <v>0</v>
      </c>
      <c r="O61" s="534">
        <v>0</v>
      </c>
      <c r="P61" s="534">
        <v>0</v>
      </c>
      <c r="Q61" s="533">
        <v>0</v>
      </c>
      <c r="R61" s="534">
        <v>0</v>
      </c>
      <c r="S61" s="534">
        <v>0</v>
      </c>
      <c r="T61" s="534">
        <v>0</v>
      </c>
      <c r="U61" s="534">
        <v>0.44341430872614263</v>
      </c>
      <c r="V61" s="535"/>
    </row>
    <row r="62" spans="1:22">
      <c r="A62" s="530"/>
      <c r="B62" s="536" t="s">
        <v>766</v>
      </c>
      <c r="C62" s="537">
        <v>-1.2052887428838366</v>
      </c>
      <c r="D62" s="538">
        <v>-1.7289348044960406</v>
      </c>
      <c r="E62" s="538">
        <v>2.8329876921823205E-2</v>
      </c>
      <c r="F62" s="538">
        <v>1.3689132388004344</v>
      </c>
      <c r="G62" s="538">
        <v>1.5929040800207794</v>
      </c>
      <c r="H62" s="538">
        <v>-3.402192561412154</v>
      </c>
      <c r="I62" s="538">
        <v>0</v>
      </c>
      <c r="J62" s="540">
        <v>-0.14898576297794341</v>
      </c>
      <c r="K62" s="540">
        <v>0</v>
      </c>
      <c r="L62" s="538">
        <v>0</v>
      </c>
      <c r="M62" s="538">
        <v>0</v>
      </c>
      <c r="N62" s="538">
        <v>0</v>
      </c>
      <c r="O62" s="540">
        <v>0</v>
      </c>
      <c r="P62" s="540">
        <v>0</v>
      </c>
      <c r="Q62" s="538">
        <v>0</v>
      </c>
      <c r="R62" s="540">
        <v>0</v>
      </c>
      <c r="S62" s="540">
        <v>0</v>
      </c>
      <c r="T62" s="540">
        <v>0</v>
      </c>
      <c r="U62" s="540">
        <v>-0.14898576297794341</v>
      </c>
      <c r="V62" s="535"/>
    </row>
    <row r="63" spans="1:22">
      <c r="A63" s="530"/>
      <c r="B63" s="508" t="s">
        <v>767</v>
      </c>
      <c r="C63" s="527">
        <v>1.2833502195204323E-2</v>
      </c>
      <c r="D63" s="528">
        <v>4.8282880878559083E-3</v>
      </c>
      <c r="E63" s="528">
        <v>2.111222424678442E-3</v>
      </c>
      <c r="F63" s="528">
        <v>0.14123446920488991</v>
      </c>
      <c r="G63" s="528">
        <v>0</v>
      </c>
      <c r="H63" s="528">
        <v>0</v>
      </c>
      <c r="I63" s="528">
        <v>0</v>
      </c>
      <c r="J63" s="529">
        <v>1.8754924626863251E-2</v>
      </c>
      <c r="K63" s="529">
        <v>0</v>
      </c>
      <c r="L63" s="528">
        <v>0</v>
      </c>
      <c r="M63" s="528">
        <v>0</v>
      </c>
      <c r="N63" s="528">
        <v>0</v>
      </c>
      <c r="O63" s="529">
        <v>0</v>
      </c>
      <c r="P63" s="529">
        <v>0</v>
      </c>
      <c r="Q63" s="528">
        <v>0</v>
      </c>
      <c r="R63" s="529">
        <v>0</v>
      </c>
      <c r="S63" s="529">
        <v>0</v>
      </c>
      <c r="T63" s="529">
        <v>0</v>
      </c>
      <c r="U63" s="529">
        <v>1.8754924626863251E-2</v>
      </c>
      <c r="V63" s="535"/>
    </row>
    <row r="64" spans="1:22">
      <c r="A64" s="530"/>
      <c r="B64" s="531" t="s">
        <v>768</v>
      </c>
      <c r="C64" s="532">
        <v>7.0298769771528994E-3</v>
      </c>
      <c r="D64" s="533">
        <v>1.5581798584750926E-2</v>
      </c>
      <c r="E64" s="533">
        <v>1.0241596638655463E-3</v>
      </c>
      <c r="F64" s="533">
        <v>0.10135320651108061</v>
      </c>
      <c r="G64" s="533">
        <v>0</v>
      </c>
      <c r="H64" s="533">
        <v>0</v>
      </c>
      <c r="I64" s="533">
        <v>0</v>
      </c>
      <c r="J64" s="534">
        <v>1.2889894075725281E-2</v>
      </c>
      <c r="K64" s="534">
        <v>0</v>
      </c>
      <c r="L64" s="533">
        <v>0</v>
      </c>
      <c r="M64" s="533">
        <v>0</v>
      </c>
      <c r="N64" s="533">
        <v>0</v>
      </c>
      <c r="O64" s="534">
        <v>0</v>
      </c>
      <c r="P64" s="534">
        <v>0</v>
      </c>
      <c r="Q64" s="533">
        <v>0</v>
      </c>
      <c r="R64" s="534">
        <v>0</v>
      </c>
      <c r="S64" s="534">
        <v>0</v>
      </c>
      <c r="T64" s="534">
        <v>0</v>
      </c>
      <c r="U64" s="534">
        <v>1.2889894075725281E-2</v>
      </c>
      <c r="V64" s="535"/>
    </row>
    <row r="65" spans="1:23">
      <c r="A65" s="530"/>
      <c r="B65" s="536" t="s">
        <v>769</v>
      </c>
      <c r="C65" s="537">
        <v>-0.58036252180514236</v>
      </c>
      <c r="D65" s="538">
        <v>1.0753510496895018</v>
      </c>
      <c r="E65" s="538">
        <v>-0.10870627608128958</v>
      </c>
      <c r="F65" s="538">
        <v>-3.9881262693809303</v>
      </c>
      <c r="G65" s="538">
        <v>0</v>
      </c>
      <c r="H65" s="538">
        <v>0</v>
      </c>
      <c r="I65" s="538">
        <v>0</v>
      </c>
      <c r="J65" s="540">
        <v>-0.58650305511379708</v>
      </c>
      <c r="K65" s="540">
        <v>0</v>
      </c>
      <c r="L65" s="538">
        <v>0</v>
      </c>
      <c r="M65" s="538">
        <v>0</v>
      </c>
      <c r="N65" s="538">
        <v>0</v>
      </c>
      <c r="O65" s="540">
        <v>0</v>
      </c>
      <c r="P65" s="540">
        <v>0</v>
      </c>
      <c r="Q65" s="538">
        <v>0</v>
      </c>
      <c r="R65" s="540">
        <v>0</v>
      </c>
      <c r="S65" s="540">
        <v>0</v>
      </c>
      <c r="T65" s="540">
        <v>0</v>
      </c>
      <c r="U65" s="540">
        <v>-0.58650305511379708</v>
      </c>
      <c r="V65" s="535"/>
    </row>
    <row r="66" spans="1:23">
      <c r="A66" s="530"/>
      <c r="B66" s="508" t="s">
        <v>770</v>
      </c>
      <c r="C66" s="527">
        <v>0.30396387606789499</v>
      </c>
      <c r="D66" s="528">
        <v>0.28586305649570426</v>
      </c>
      <c r="E66" s="528">
        <v>0.64853525539740065</v>
      </c>
      <c r="F66" s="528">
        <v>0.72509243529529332</v>
      </c>
      <c r="G66" s="528">
        <v>0.85240807871569135</v>
      </c>
      <c r="H66" s="528">
        <v>0.29312424607961401</v>
      </c>
      <c r="I66" s="528">
        <v>0</v>
      </c>
      <c r="J66" s="529">
        <v>0.51889597566788481</v>
      </c>
      <c r="K66" s="529">
        <v>0</v>
      </c>
      <c r="L66" s="528">
        <v>0</v>
      </c>
      <c r="M66" s="528">
        <v>0</v>
      </c>
      <c r="N66" s="528">
        <v>0</v>
      </c>
      <c r="O66" s="529">
        <v>0</v>
      </c>
      <c r="P66" s="529">
        <v>0</v>
      </c>
      <c r="Q66" s="528">
        <v>0</v>
      </c>
      <c r="R66" s="529">
        <v>0</v>
      </c>
      <c r="S66" s="529">
        <v>0</v>
      </c>
      <c r="T66" s="529">
        <v>0</v>
      </c>
      <c r="U66" s="529">
        <v>0.51889597566788481</v>
      </c>
      <c r="V66" s="535"/>
    </row>
    <row r="67" spans="1:23">
      <c r="A67" s="530"/>
      <c r="B67" s="531" t="s">
        <v>771</v>
      </c>
      <c r="C67" s="532">
        <v>0.31953066720612966</v>
      </c>
      <c r="D67" s="533">
        <v>0.29162566193354889</v>
      </c>
      <c r="E67" s="533">
        <v>0.65278361344537816</v>
      </c>
      <c r="F67" s="533">
        <v>0.75093155520690336</v>
      </c>
      <c r="G67" s="533">
        <v>0.8364790379154835</v>
      </c>
      <c r="H67" s="533">
        <v>0.3271461716937355</v>
      </c>
      <c r="I67" s="533">
        <v>0</v>
      </c>
      <c r="J67" s="534">
        <v>0.52674791324297499</v>
      </c>
      <c r="K67" s="534">
        <v>0</v>
      </c>
      <c r="L67" s="533">
        <v>0</v>
      </c>
      <c r="M67" s="533">
        <v>0</v>
      </c>
      <c r="N67" s="533">
        <v>0</v>
      </c>
      <c r="O67" s="534">
        <v>0</v>
      </c>
      <c r="P67" s="534">
        <v>0</v>
      </c>
      <c r="Q67" s="533">
        <v>0</v>
      </c>
      <c r="R67" s="534">
        <v>0</v>
      </c>
      <c r="S67" s="534">
        <v>0</v>
      </c>
      <c r="T67" s="534">
        <v>0</v>
      </c>
      <c r="U67" s="534">
        <v>0.52674791324297499</v>
      </c>
      <c r="V67" s="535"/>
    </row>
    <row r="68" spans="1:23">
      <c r="A68" s="530"/>
      <c r="B68" s="536" t="s">
        <v>772</v>
      </c>
      <c r="C68" s="537">
        <v>1.556679113823467</v>
      </c>
      <c r="D68" s="538">
        <v>0.57626054378446256</v>
      </c>
      <c r="E68" s="538">
        <v>0.42483580479775185</v>
      </c>
      <c r="F68" s="538">
        <v>2.5839119911610031</v>
      </c>
      <c r="G68" s="538">
        <v>-1.592904080020785</v>
      </c>
      <c r="H68" s="538">
        <v>3.4021925614121482</v>
      </c>
      <c r="I68" s="538">
        <v>0</v>
      </c>
      <c r="J68" s="540">
        <v>0.78519375750901732</v>
      </c>
      <c r="K68" s="540">
        <v>0</v>
      </c>
      <c r="L68" s="538">
        <v>0</v>
      </c>
      <c r="M68" s="538">
        <v>0</v>
      </c>
      <c r="N68" s="538">
        <v>0</v>
      </c>
      <c r="O68" s="540">
        <v>0</v>
      </c>
      <c r="P68" s="540">
        <v>0</v>
      </c>
      <c r="Q68" s="538">
        <v>0</v>
      </c>
      <c r="R68" s="540">
        <v>0</v>
      </c>
      <c r="S68" s="540">
        <v>0</v>
      </c>
      <c r="T68" s="540">
        <v>0</v>
      </c>
      <c r="U68" s="540">
        <v>0.78519375750901732</v>
      </c>
      <c r="V68" s="535"/>
    </row>
    <row r="69" spans="1:23">
      <c r="A69" s="530"/>
      <c r="B69" s="508" t="s">
        <v>773</v>
      </c>
      <c r="C69" s="527">
        <v>1.1257458065968704E-4</v>
      </c>
      <c r="D69" s="528">
        <v>0</v>
      </c>
      <c r="E69" s="528">
        <v>3.2239845625264746E-2</v>
      </c>
      <c r="F69" s="528">
        <v>0</v>
      </c>
      <c r="G69" s="528">
        <v>0</v>
      </c>
      <c r="H69" s="528">
        <v>0</v>
      </c>
      <c r="I69" s="528">
        <v>0</v>
      </c>
      <c r="J69" s="529">
        <v>1.5577223013044789E-2</v>
      </c>
      <c r="K69" s="529">
        <v>0</v>
      </c>
      <c r="L69" s="528">
        <v>0</v>
      </c>
      <c r="M69" s="528">
        <v>0</v>
      </c>
      <c r="N69" s="528">
        <v>0</v>
      </c>
      <c r="O69" s="529">
        <v>0</v>
      </c>
      <c r="P69" s="529">
        <v>0</v>
      </c>
      <c r="Q69" s="528">
        <v>0</v>
      </c>
      <c r="R69" s="529">
        <v>0</v>
      </c>
      <c r="S69" s="529">
        <v>0</v>
      </c>
      <c r="T69" s="529">
        <v>0</v>
      </c>
      <c r="U69" s="529">
        <v>1.5577223013044789E-2</v>
      </c>
      <c r="V69" s="535"/>
    </row>
    <row r="70" spans="1:23">
      <c r="A70" s="530"/>
      <c r="B70" s="531" t="s">
        <v>774</v>
      </c>
      <c r="C70" s="532">
        <v>3.7930990883918526E-4</v>
      </c>
      <c r="D70" s="533">
        <v>0</v>
      </c>
      <c r="E70" s="533">
        <v>2.7895220588235296E-2</v>
      </c>
      <c r="F70" s="533">
        <v>0</v>
      </c>
      <c r="G70" s="533">
        <v>0</v>
      </c>
      <c r="H70" s="533">
        <v>0</v>
      </c>
      <c r="I70" s="533">
        <v>0</v>
      </c>
      <c r="J70" s="534">
        <v>1.3924730308010218E-2</v>
      </c>
      <c r="K70" s="534">
        <v>0</v>
      </c>
      <c r="L70" s="533">
        <v>0</v>
      </c>
      <c r="M70" s="533">
        <v>0</v>
      </c>
      <c r="N70" s="533">
        <v>0</v>
      </c>
      <c r="O70" s="534">
        <v>0</v>
      </c>
      <c r="P70" s="534">
        <v>0</v>
      </c>
      <c r="Q70" s="533">
        <v>0</v>
      </c>
      <c r="R70" s="534">
        <v>0</v>
      </c>
      <c r="S70" s="534">
        <v>0</v>
      </c>
      <c r="T70" s="534">
        <v>0</v>
      </c>
      <c r="U70" s="534">
        <v>1.3924730308010218E-2</v>
      </c>
      <c r="V70" s="535"/>
    </row>
    <row r="71" spans="1:23">
      <c r="A71" s="530"/>
      <c r="B71" s="536" t="s">
        <v>775</v>
      </c>
      <c r="C71" s="537">
        <v>2.6673532817949822E-2</v>
      </c>
      <c r="D71" s="538">
        <v>0</v>
      </c>
      <c r="E71" s="538">
        <v>-0.43446250370294504</v>
      </c>
      <c r="F71" s="538">
        <v>0</v>
      </c>
      <c r="G71" s="538">
        <v>0</v>
      </c>
      <c r="H71" s="538">
        <v>0</v>
      </c>
      <c r="I71" s="538">
        <v>0</v>
      </c>
      <c r="J71" s="540">
        <v>-0.16524927050345709</v>
      </c>
      <c r="K71" s="540">
        <v>0</v>
      </c>
      <c r="L71" s="538">
        <v>0</v>
      </c>
      <c r="M71" s="538">
        <v>0</v>
      </c>
      <c r="N71" s="538">
        <v>0</v>
      </c>
      <c r="O71" s="540">
        <v>0</v>
      </c>
      <c r="P71" s="540">
        <v>0</v>
      </c>
      <c r="Q71" s="538">
        <v>0</v>
      </c>
      <c r="R71" s="540">
        <v>0</v>
      </c>
      <c r="S71" s="540">
        <v>0</v>
      </c>
      <c r="T71" s="540">
        <v>0</v>
      </c>
      <c r="U71" s="540">
        <v>-0.16524927050345709</v>
      </c>
      <c r="V71" s="535"/>
    </row>
    <row r="72" spans="1:23">
      <c r="A72" s="530"/>
      <c r="B72" s="508" t="s">
        <v>776</v>
      </c>
      <c r="C72" s="527">
        <v>0</v>
      </c>
      <c r="D72" s="528">
        <v>0</v>
      </c>
      <c r="E72" s="528">
        <v>3.8728156580088617E-3</v>
      </c>
      <c r="F72" s="528">
        <v>0</v>
      </c>
      <c r="G72" s="528">
        <v>0</v>
      </c>
      <c r="H72" s="528">
        <v>0</v>
      </c>
      <c r="I72" s="528">
        <v>0</v>
      </c>
      <c r="J72" s="529">
        <v>1.8677103362851372E-3</v>
      </c>
      <c r="K72" s="529">
        <v>0</v>
      </c>
      <c r="L72" s="528">
        <v>0</v>
      </c>
      <c r="M72" s="528">
        <v>0</v>
      </c>
      <c r="N72" s="528">
        <v>0</v>
      </c>
      <c r="O72" s="529">
        <v>0</v>
      </c>
      <c r="P72" s="529">
        <v>0</v>
      </c>
      <c r="Q72" s="528">
        <v>0</v>
      </c>
      <c r="R72" s="529">
        <v>0</v>
      </c>
      <c r="S72" s="529">
        <v>0</v>
      </c>
      <c r="T72" s="529">
        <v>0</v>
      </c>
      <c r="U72" s="529">
        <v>1.8677103362851372E-3</v>
      </c>
      <c r="V72" s="535"/>
    </row>
    <row r="73" spans="1:23">
      <c r="A73" s="530"/>
      <c r="B73" s="531" t="s">
        <v>777</v>
      </c>
      <c r="C73" s="532">
        <v>0</v>
      </c>
      <c r="D73" s="533">
        <v>0</v>
      </c>
      <c r="E73" s="533">
        <v>4.6743697478991595E-3</v>
      </c>
      <c r="F73" s="533">
        <v>0</v>
      </c>
      <c r="G73" s="533">
        <v>0</v>
      </c>
      <c r="H73" s="533">
        <v>0</v>
      </c>
      <c r="I73" s="533">
        <v>0</v>
      </c>
      <c r="J73" s="534">
        <v>2.3169918156819994E-3</v>
      </c>
      <c r="K73" s="534">
        <v>0</v>
      </c>
      <c r="L73" s="533">
        <v>0</v>
      </c>
      <c r="M73" s="533">
        <v>0</v>
      </c>
      <c r="N73" s="533">
        <v>0</v>
      </c>
      <c r="O73" s="534">
        <v>0</v>
      </c>
      <c r="P73" s="534">
        <v>0</v>
      </c>
      <c r="Q73" s="533">
        <v>0</v>
      </c>
      <c r="R73" s="534">
        <v>0</v>
      </c>
      <c r="S73" s="534">
        <v>0</v>
      </c>
      <c r="T73" s="534">
        <v>0</v>
      </c>
      <c r="U73" s="534">
        <v>2.3169918156819994E-3</v>
      </c>
      <c r="V73" s="535"/>
    </row>
    <row r="74" spans="1:23">
      <c r="A74" s="530"/>
      <c r="B74" s="536" t="s">
        <v>778</v>
      </c>
      <c r="C74" s="537">
        <v>0</v>
      </c>
      <c r="D74" s="538">
        <v>0</v>
      </c>
      <c r="E74" s="538">
        <v>8.0155408989029786E-2</v>
      </c>
      <c r="F74" s="538">
        <v>0</v>
      </c>
      <c r="G74" s="538">
        <v>0</v>
      </c>
      <c r="H74" s="538">
        <v>0</v>
      </c>
      <c r="I74" s="538">
        <v>0</v>
      </c>
      <c r="J74" s="540">
        <v>4.4928147939686219E-2</v>
      </c>
      <c r="K74" s="540">
        <v>0</v>
      </c>
      <c r="L74" s="538">
        <v>0</v>
      </c>
      <c r="M74" s="538">
        <v>0</v>
      </c>
      <c r="N74" s="538">
        <v>0</v>
      </c>
      <c r="O74" s="540">
        <v>0</v>
      </c>
      <c r="P74" s="540">
        <v>0</v>
      </c>
      <c r="Q74" s="538">
        <v>0</v>
      </c>
      <c r="R74" s="540">
        <v>0</v>
      </c>
      <c r="S74" s="540">
        <v>0</v>
      </c>
      <c r="T74" s="540">
        <v>0</v>
      </c>
      <c r="U74" s="540">
        <v>4.4928147939686219E-2</v>
      </c>
      <c r="V74" s="535"/>
    </row>
    <row r="75" spans="1:23">
      <c r="A75" s="530"/>
      <c r="B75" s="508" t="s">
        <v>779</v>
      </c>
      <c r="C75" s="527">
        <v>0</v>
      </c>
      <c r="D75" s="528">
        <v>0</v>
      </c>
      <c r="E75" s="528">
        <v>0</v>
      </c>
      <c r="F75" s="528">
        <v>0</v>
      </c>
      <c r="G75" s="528">
        <v>0</v>
      </c>
      <c r="H75" s="528">
        <v>0</v>
      </c>
      <c r="I75" s="528">
        <v>0</v>
      </c>
      <c r="J75" s="529">
        <v>0</v>
      </c>
      <c r="K75" s="529">
        <v>0</v>
      </c>
      <c r="L75" s="528">
        <v>0</v>
      </c>
      <c r="M75" s="528">
        <v>0</v>
      </c>
      <c r="N75" s="528">
        <v>0</v>
      </c>
      <c r="O75" s="529">
        <v>0</v>
      </c>
      <c r="P75" s="529">
        <v>0</v>
      </c>
      <c r="Q75" s="528">
        <v>0</v>
      </c>
      <c r="R75" s="529">
        <v>0</v>
      </c>
      <c r="S75" s="529">
        <v>0</v>
      </c>
      <c r="T75" s="529">
        <v>0</v>
      </c>
      <c r="U75" s="529">
        <v>0</v>
      </c>
      <c r="V75" s="535"/>
    </row>
    <row r="76" spans="1:23">
      <c r="A76" s="530"/>
      <c r="B76" s="531" t="s">
        <v>780</v>
      </c>
      <c r="C76" s="532">
        <v>2.0229861804756544E-3</v>
      </c>
      <c r="D76" s="533">
        <v>7.7323211022072263E-4</v>
      </c>
      <c r="E76" s="533">
        <v>9.8476890756302524E-5</v>
      </c>
      <c r="F76" s="533">
        <v>3.5301039419494021E-4</v>
      </c>
      <c r="G76" s="533">
        <v>0</v>
      </c>
      <c r="H76" s="533">
        <v>0</v>
      </c>
      <c r="I76" s="533">
        <v>0</v>
      </c>
      <c r="J76" s="534">
        <v>7.0616183146487901E-4</v>
      </c>
      <c r="K76" s="534">
        <v>0</v>
      </c>
      <c r="L76" s="533">
        <v>0</v>
      </c>
      <c r="M76" s="533">
        <v>0</v>
      </c>
      <c r="N76" s="533">
        <v>0</v>
      </c>
      <c r="O76" s="534">
        <v>0</v>
      </c>
      <c r="P76" s="534">
        <v>0</v>
      </c>
      <c r="Q76" s="533">
        <v>0</v>
      </c>
      <c r="R76" s="534">
        <v>0</v>
      </c>
      <c r="S76" s="534">
        <v>0</v>
      </c>
      <c r="T76" s="534">
        <v>0</v>
      </c>
      <c r="U76" s="534">
        <v>7.0616183146487901E-4</v>
      </c>
      <c r="V76" s="535"/>
      <c r="W76" s="552"/>
    </row>
    <row r="77" spans="1:23" ht="15.75" thickBot="1">
      <c r="A77" s="546"/>
      <c r="B77" s="547" t="s">
        <v>781</v>
      </c>
      <c r="C77" s="548">
        <v>0</v>
      </c>
      <c r="D77" s="549">
        <v>0</v>
      </c>
      <c r="E77" s="549">
        <v>0</v>
      </c>
      <c r="F77" s="549">
        <v>0</v>
      </c>
      <c r="G77" s="549">
        <v>0</v>
      </c>
      <c r="H77" s="549">
        <v>0</v>
      </c>
      <c r="I77" s="549">
        <v>0</v>
      </c>
      <c r="J77" s="550">
        <v>0</v>
      </c>
      <c r="K77" s="550">
        <v>0</v>
      </c>
      <c r="L77" s="549">
        <v>0</v>
      </c>
      <c r="M77" s="549">
        <v>0</v>
      </c>
      <c r="N77" s="549">
        <v>0</v>
      </c>
      <c r="O77" s="550">
        <v>0</v>
      </c>
      <c r="P77" s="550">
        <v>0</v>
      </c>
      <c r="Q77" s="549">
        <v>0</v>
      </c>
      <c r="R77" s="550">
        <v>0</v>
      </c>
      <c r="S77" s="550">
        <v>0</v>
      </c>
      <c r="T77" s="550">
        <v>0</v>
      </c>
      <c r="U77" s="550">
        <v>0</v>
      </c>
      <c r="V77" s="535"/>
    </row>
    <row r="78" spans="1:23">
      <c r="A78" s="526" t="s">
        <v>116</v>
      </c>
      <c r="B78" s="508" t="s">
        <v>746</v>
      </c>
      <c r="C78" s="527">
        <v>0.96399075104907084</v>
      </c>
      <c r="D78" s="528">
        <v>0</v>
      </c>
      <c r="E78" s="528">
        <v>0.94523824969995784</v>
      </c>
      <c r="F78" s="528">
        <v>0</v>
      </c>
      <c r="G78" s="528">
        <v>0</v>
      </c>
      <c r="H78" s="528">
        <v>0</v>
      </c>
      <c r="I78" s="528">
        <v>0</v>
      </c>
      <c r="J78" s="529">
        <v>0.96072067944443029</v>
      </c>
      <c r="K78" s="529">
        <v>0</v>
      </c>
      <c r="L78" s="528">
        <v>0</v>
      </c>
      <c r="M78" s="528">
        <v>0.83456419910633561</v>
      </c>
      <c r="N78" s="528">
        <v>0</v>
      </c>
      <c r="O78" s="529">
        <v>0.83456419910633561</v>
      </c>
      <c r="P78" s="529">
        <v>0</v>
      </c>
      <c r="Q78" s="528">
        <v>0</v>
      </c>
      <c r="R78" s="529">
        <v>0</v>
      </c>
      <c r="S78" s="529">
        <v>0</v>
      </c>
      <c r="T78" s="529">
        <v>0</v>
      </c>
      <c r="U78" s="529">
        <v>0.92597651306884488</v>
      </c>
      <c r="V78" s="535"/>
    </row>
    <row r="79" spans="1:23">
      <c r="A79" s="530"/>
      <c r="B79" s="531" t="s">
        <v>747</v>
      </c>
      <c r="C79" s="532">
        <v>0.96130673743340356</v>
      </c>
      <c r="D79" s="533">
        <v>0</v>
      </c>
      <c r="E79" s="533">
        <v>0.92338077300775356</v>
      </c>
      <c r="F79" s="533">
        <v>0</v>
      </c>
      <c r="G79" s="533">
        <v>0</v>
      </c>
      <c r="H79" s="533">
        <v>0</v>
      </c>
      <c r="I79" s="533">
        <v>0</v>
      </c>
      <c r="J79" s="534">
        <v>0.95422069475442606</v>
      </c>
      <c r="K79" s="534">
        <v>0</v>
      </c>
      <c r="L79" s="533">
        <v>0</v>
      </c>
      <c r="M79" s="533">
        <v>0.80386420543015547</v>
      </c>
      <c r="N79" s="533">
        <v>0</v>
      </c>
      <c r="O79" s="534">
        <v>0.80386420543015547</v>
      </c>
      <c r="P79" s="534">
        <v>0</v>
      </c>
      <c r="Q79" s="533">
        <v>0</v>
      </c>
      <c r="R79" s="534">
        <v>0</v>
      </c>
      <c r="S79" s="534">
        <v>0</v>
      </c>
      <c r="T79" s="534">
        <v>0</v>
      </c>
      <c r="U79" s="534">
        <v>0.91359626025148166</v>
      </c>
      <c r="V79" s="535"/>
    </row>
    <row r="80" spans="1:23">
      <c r="A80" s="530"/>
      <c r="B80" s="536" t="s">
        <v>748</v>
      </c>
      <c r="C80" s="537">
        <v>-0.268401361566728</v>
      </c>
      <c r="D80" s="538">
        <v>0</v>
      </c>
      <c r="E80" s="538">
        <v>-2.1857476692204281</v>
      </c>
      <c r="F80" s="538">
        <v>0</v>
      </c>
      <c r="G80" s="538">
        <v>0</v>
      </c>
      <c r="H80" s="538">
        <v>0</v>
      </c>
      <c r="I80" s="538">
        <v>0</v>
      </c>
      <c r="J80" s="540">
        <v>-0.64999846900042346</v>
      </c>
      <c r="K80" s="540">
        <v>0</v>
      </c>
      <c r="L80" s="538">
        <v>0</v>
      </c>
      <c r="M80" s="538">
        <v>-3.0699993676180148</v>
      </c>
      <c r="N80" s="538">
        <v>0</v>
      </c>
      <c r="O80" s="540">
        <v>-3.0699993676180148</v>
      </c>
      <c r="P80" s="540">
        <v>0</v>
      </c>
      <c r="Q80" s="538">
        <v>0</v>
      </c>
      <c r="R80" s="540">
        <v>0</v>
      </c>
      <c r="S80" s="540">
        <v>0</v>
      </c>
      <c r="T80" s="540">
        <v>0</v>
      </c>
      <c r="U80" s="540">
        <v>-1.2380252817363213</v>
      </c>
      <c r="V80" s="535"/>
    </row>
    <row r="81" spans="1:22">
      <c r="A81" s="530"/>
      <c r="B81" s="508" t="s">
        <v>749</v>
      </c>
      <c r="C81" s="527">
        <v>0</v>
      </c>
      <c r="D81" s="528">
        <v>0</v>
      </c>
      <c r="E81" s="528">
        <v>0</v>
      </c>
      <c r="F81" s="528">
        <v>0</v>
      </c>
      <c r="G81" s="528">
        <v>0</v>
      </c>
      <c r="H81" s="528">
        <v>0</v>
      </c>
      <c r="I81" s="528">
        <v>0</v>
      </c>
      <c r="J81" s="529">
        <v>0</v>
      </c>
      <c r="K81" s="529">
        <v>0</v>
      </c>
      <c r="L81" s="528">
        <v>0</v>
      </c>
      <c r="M81" s="528">
        <v>0</v>
      </c>
      <c r="N81" s="528">
        <v>0</v>
      </c>
      <c r="O81" s="529">
        <v>0</v>
      </c>
      <c r="P81" s="529">
        <v>0</v>
      </c>
      <c r="Q81" s="528">
        <v>0</v>
      </c>
      <c r="R81" s="529">
        <v>0</v>
      </c>
      <c r="S81" s="529">
        <v>0</v>
      </c>
      <c r="T81" s="529">
        <v>0</v>
      </c>
      <c r="U81" s="529">
        <v>0</v>
      </c>
      <c r="V81" s="535"/>
    </row>
    <row r="82" spans="1:22">
      <c r="A82" s="530"/>
      <c r="B82" s="531" t="s">
        <v>750</v>
      </c>
      <c r="C82" s="532">
        <v>0</v>
      </c>
      <c r="D82" s="533">
        <v>0</v>
      </c>
      <c r="E82" s="533">
        <v>0</v>
      </c>
      <c r="F82" s="533">
        <v>0</v>
      </c>
      <c r="G82" s="533">
        <v>0</v>
      </c>
      <c r="H82" s="533">
        <v>0</v>
      </c>
      <c r="I82" s="533">
        <v>0</v>
      </c>
      <c r="J82" s="534">
        <v>0</v>
      </c>
      <c r="K82" s="534">
        <v>0</v>
      </c>
      <c r="L82" s="533">
        <v>0</v>
      </c>
      <c r="M82" s="533">
        <v>0</v>
      </c>
      <c r="N82" s="533">
        <v>0</v>
      </c>
      <c r="O82" s="534">
        <v>0</v>
      </c>
      <c r="P82" s="534">
        <v>0</v>
      </c>
      <c r="Q82" s="533">
        <v>0</v>
      </c>
      <c r="R82" s="534">
        <v>0</v>
      </c>
      <c r="S82" s="534">
        <v>0</v>
      </c>
      <c r="T82" s="534">
        <v>0</v>
      </c>
      <c r="U82" s="534">
        <v>0</v>
      </c>
      <c r="V82" s="535"/>
    </row>
    <row r="83" spans="1:22">
      <c r="A83" s="530"/>
      <c r="B83" s="536" t="s">
        <v>751</v>
      </c>
      <c r="C83" s="537">
        <v>0</v>
      </c>
      <c r="D83" s="538">
        <v>0</v>
      </c>
      <c r="E83" s="538">
        <v>0</v>
      </c>
      <c r="F83" s="538">
        <v>0</v>
      </c>
      <c r="G83" s="538">
        <v>0</v>
      </c>
      <c r="H83" s="538">
        <v>0</v>
      </c>
      <c r="I83" s="538">
        <v>0</v>
      </c>
      <c r="J83" s="540">
        <v>0</v>
      </c>
      <c r="K83" s="540">
        <v>0</v>
      </c>
      <c r="L83" s="538">
        <v>0</v>
      </c>
      <c r="M83" s="538">
        <v>0</v>
      </c>
      <c r="N83" s="538">
        <v>0</v>
      </c>
      <c r="O83" s="540">
        <v>0</v>
      </c>
      <c r="P83" s="540">
        <v>0</v>
      </c>
      <c r="Q83" s="538">
        <v>0</v>
      </c>
      <c r="R83" s="540">
        <v>0</v>
      </c>
      <c r="S83" s="540">
        <v>0</v>
      </c>
      <c r="T83" s="540">
        <v>0</v>
      </c>
      <c r="U83" s="540">
        <v>0</v>
      </c>
      <c r="V83" s="535"/>
    </row>
    <row r="84" spans="1:22">
      <c r="A84" s="530"/>
      <c r="B84" s="508" t="s">
        <v>752</v>
      </c>
      <c r="C84" s="527">
        <v>3.6009248950929176E-2</v>
      </c>
      <c r="D84" s="528">
        <v>0</v>
      </c>
      <c r="E84" s="528">
        <v>5.476175030004217E-2</v>
      </c>
      <c r="F84" s="528">
        <v>0</v>
      </c>
      <c r="G84" s="528">
        <v>0</v>
      </c>
      <c r="H84" s="528">
        <v>0</v>
      </c>
      <c r="I84" s="528">
        <v>0</v>
      </c>
      <c r="J84" s="529">
        <v>3.9279320555569694E-2</v>
      </c>
      <c r="K84" s="529">
        <v>0</v>
      </c>
      <c r="L84" s="528">
        <v>0</v>
      </c>
      <c r="M84" s="528">
        <v>0.16020477637928277</v>
      </c>
      <c r="N84" s="528">
        <v>0</v>
      </c>
      <c r="O84" s="529">
        <v>0.16020477637928277</v>
      </c>
      <c r="P84" s="529">
        <v>0</v>
      </c>
      <c r="Q84" s="528">
        <v>0</v>
      </c>
      <c r="R84" s="529">
        <v>0</v>
      </c>
      <c r="S84" s="529">
        <v>0</v>
      </c>
      <c r="T84" s="529">
        <v>0</v>
      </c>
      <c r="U84" s="529">
        <v>7.258283492853608E-2</v>
      </c>
      <c r="V84" s="535"/>
    </row>
    <row r="85" spans="1:22">
      <c r="A85" s="530"/>
      <c r="B85" s="531" t="s">
        <v>753</v>
      </c>
      <c r="C85" s="532">
        <v>3.8693262566596394E-2</v>
      </c>
      <c r="D85" s="533">
        <v>0</v>
      </c>
      <c r="E85" s="533">
        <v>7.6619226992246478E-2</v>
      </c>
      <c r="F85" s="533">
        <v>0</v>
      </c>
      <c r="G85" s="533">
        <v>0</v>
      </c>
      <c r="H85" s="533">
        <v>0</v>
      </c>
      <c r="I85" s="533">
        <v>0</v>
      </c>
      <c r="J85" s="534">
        <v>4.5779305245573922E-2</v>
      </c>
      <c r="K85" s="534">
        <v>0</v>
      </c>
      <c r="L85" s="533">
        <v>0</v>
      </c>
      <c r="M85" s="533">
        <v>0.19027365290943454</v>
      </c>
      <c r="N85" s="533">
        <v>0</v>
      </c>
      <c r="O85" s="534">
        <v>0.19027365290943454</v>
      </c>
      <c r="P85" s="534">
        <v>0</v>
      </c>
      <c r="Q85" s="533">
        <v>0</v>
      </c>
      <c r="R85" s="534">
        <v>0</v>
      </c>
      <c r="S85" s="534">
        <v>0</v>
      </c>
      <c r="T85" s="534">
        <v>0</v>
      </c>
      <c r="U85" s="534">
        <v>8.4819862717333411E-2</v>
      </c>
      <c r="V85" s="535"/>
    </row>
    <row r="86" spans="1:22">
      <c r="A86" s="530"/>
      <c r="B86" s="536" t="s">
        <v>754</v>
      </c>
      <c r="C86" s="537">
        <v>0.26840136156672179</v>
      </c>
      <c r="D86" s="538">
        <v>0</v>
      </c>
      <c r="E86" s="538">
        <v>2.1857476692204307</v>
      </c>
      <c r="F86" s="538">
        <v>0</v>
      </c>
      <c r="G86" s="538">
        <v>0</v>
      </c>
      <c r="H86" s="538">
        <v>0</v>
      </c>
      <c r="I86" s="538">
        <v>0</v>
      </c>
      <c r="J86" s="540">
        <v>0.6499984690004228</v>
      </c>
      <c r="K86" s="540">
        <v>0</v>
      </c>
      <c r="L86" s="538">
        <v>0</v>
      </c>
      <c r="M86" s="538">
        <v>3.0068876530151778</v>
      </c>
      <c r="N86" s="538">
        <v>0</v>
      </c>
      <c r="O86" s="540">
        <v>3.0068876530151778</v>
      </c>
      <c r="P86" s="540">
        <v>0</v>
      </c>
      <c r="Q86" s="538">
        <v>0</v>
      </c>
      <c r="R86" s="540">
        <v>0</v>
      </c>
      <c r="S86" s="540">
        <v>0</v>
      </c>
      <c r="T86" s="540">
        <v>0</v>
      </c>
      <c r="U86" s="540">
        <v>1.223702778879733</v>
      </c>
      <c r="V86" s="535"/>
    </row>
    <row r="87" spans="1:22">
      <c r="A87" s="530"/>
      <c r="B87" s="508" t="s">
        <v>755</v>
      </c>
      <c r="C87" s="527">
        <v>0</v>
      </c>
      <c r="D87" s="528">
        <v>0</v>
      </c>
      <c r="E87" s="528">
        <v>0</v>
      </c>
      <c r="F87" s="528">
        <v>0</v>
      </c>
      <c r="G87" s="528">
        <v>0</v>
      </c>
      <c r="H87" s="528">
        <v>0</v>
      </c>
      <c r="I87" s="528">
        <v>0</v>
      </c>
      <c r="J87" s="529">
        <v>0</v>
      </c>
      <c r="K87" s="529">
        <v>0</v>
      </c>
      <c r="L87" s="528">
        <v>0</v>
      </c>
      <c r="M87" s="528">
        <v>3.2628794446035994E-3</v>
      </c>
      <c r="N87" s="528">
        <v>0</v>
      </c>
      <c r="O87" s="529">
        <v>3.2628794446035994E-3</v>
      </c>
      <c r="P87" s="529">
        <v>0</v>
      </c>
      <c r="Q87" s="528">
        <v>0</v>
      </c>
      <c r="R87" s="529">
        <v>0</v>
      </c>
      <c r="S87" s="529">
        <v>0</v>
      </c>
      <c r="T87" s="529">
        <v>0</v>
      </c>
      <c r="U87" s="529">
        <v>8.9861437147713968E-4</v>
      </c>
      <c r="V87" s="535"/>
    </row>
    <row r="88" spans="1:22">
      <c r="A88" s="530"/>
      <c r="B88" s="531" t="s">
        <v>756</v>
      </c>
      <c r="C88" s="532">
        <v>0</v>
      </c>
      <c r="D88" s="533">
        <v>0</v>
      </c>
      <c r="E88" s="533">
        <v>0</v>
      </c>
      <c r="F88" s="533">
        <v>0</v>
      </c>
      <c r="G88" s="533">
        <v>0</v>
      </c>
      <c r="H88" s="533">
        <v>0</v>
      </c>
      <c r="I88" s="533">
        <v>0</v>
      </c>
      <c r="J88" s="534">
        <v>0</v>
      </c>
      <c r="K88" s="534">
        <v>0</v>
      </c>
      <c r="L88" s="533">
        <v>0</v>
      </c>
      <c r="M88" s="533">
        <v>3.8020704270671909E-3</v>
      </c>
      <c r="N88" s="533">
        <v>0</v>
      </c>
      <c r="O88" s="534">
        <v>3.8020704270671909E-3</v>
      </c>
      <c r="P88" s="534">
        <v>0</v>
      </c>
      <c r="Q88" s="533">
        <v>0</v>
      </c>
      <c r="R88" s="534">
        <v>0</v>
      </c>
      <c r="S88" s="534">
        <v>0</v>
      </c>
      <c r="T88" s="534">
        <v>0</v>
      </c>
      <c r="U88" s="534">
        <v>1.0272716643899475E-3</v>
      </c>
      <c r="V88" s="535"/>
    </row>
    <row r="89" spans="1:22">
      <c r="A89" s="530"/>
      <c r="B89" s="536" t="s">
        <v>757</v>
      </c>
      <c r="C89" s="537">
        <v>0</v>
      </c>
      <c r="D89" s="538">
        <v>0</v>
      </c>
      <c r="E89" s="538">
        <v>0</v>
      </c>
      <c r="F89" s="538">
        <v>0</v>
      </c>
      <c r="G89" s="538">
        <v>0</v>
      </c>
      <c r="H89" s="538">
        <v>0</v>
      </c>
      <c r="I89" s="538">
        <v>0</v>
      </c>
      <c r="J89" s="540">
        <v>0</v>
      </c>
      <c r="K89" s="540">
        <v>0</v>
      </c>
      <c r="L89" s="538">
        <v>0</v>
      </c>
      <c r="M89" s="538">
        <v>5.3919098246359154E-2</v>
      </c>
      <c r="N89" s="538">
        <v>0</v>
      </c>
      <c r="O89" s="540">
        <v>5.3919098246359154E-2</v>
      </c>
      <c r="P89" s="540">
        <v>0</v>
      </c>
      <c r="Q89" s="538">
        <v>0</v>
      </c>
      <c r="R89" s="540">
        <v>0</v>
      </c>
      <c r="S89" s="540">
        <v>0</v>
      </c>
      <c r="T89" s="540">
        <v>0</v>
      </c>
      <c r="U89" s="540">
        <v>1.2865729291280784E-2</v>
      </c>
      <c r="V89" s="535"/>
    </row>
    <row r="90" spans="1:22">
      <c r="A90" s="530"/>
      <c r="B90" s="508" t="s">
        <v>758</v>
      </c>
      <c r="C90" s="527">
        <v>0</v>
      </c>
      <c r="D90" s="528">
        <v>0</v>
      </c>
      <c r="E90" s="528">
        <v>0</v>
      </c>
      <c r="F90" s="528">
        <v>0</v>
      </c>
      <c r="G90" s="528">
        <v>0</v>
      </c>
      <c r="H90" s="528">
        <v>0</v>
      </c>
      <c r="I90" s="528">
        <v>0</v>
      </c>
      <c r="J90" s="529">
        <v>0</v>
      </c>
      <c r="K90" s="529">
        <v>0</v>
      </c>
      <c r="L90" s="528">
        <v>0</v>
      </c>
      <c r="M90" s="528">
        <v>1.9681450697779978E-3</v>
      </c>
      <c r="N90" s="528">
        <v>0</v>
      </c>
      <c r="O90" s="529">
        <v>1.9681450697779978E-3</v>
      </c>
      <c r="P90" s="529">
        <v>0</v>
      </c>
      <c r="Q90" s="528">
        <v>0</v>
      </c>
      <c r="R90" s="529">
        <v>0</v>
      </c>
      <c r="S90" s="529">
        <v>0</v>
      </c>
      <c r="T90" s="529">
        <v>0</v>
      </c>
      <c r="U90" s="529">
        <v>5.4203763114185502E-4</v>
      </c>
      <c r="V90" s="535"/>
    </row>
    <row r="91" spans="1:22">
      <c r="A91" s="530"/>
      <c r="B91" s="531" t="s">
        <v>759</v>
      </c>
      <c r="C91" s="532">
        <v>0</v>
      </c>
      <c r="D91" s="533">
        <v>0</v>
      </c>
      <c r="E91" s="533">
        <v>0</v>
      </c>
      <c r="F91" s="533">
        <v>0</v>
      </c>
      <c r="G91" s="533">
        <v>0</v>
      </c>
      <c r="H91" s="533">
        <v>0</v>
      </c>
      <c r="I91" s="533">
        <v>0</v>
      </c>
      <c r="J91" s="534">
        <v>0</v>
      </c>
      <c r="K91" s="534">
        <v>0</v>
      </c>
      <c r="L91" s="533">
        <v>0</v>
      </c>
      <c r="M91" s="533">
        <v>2.0600712333428261E-3</v>
      </c>
      <c r="N91" s="533">
        <v>0</v>
      </c>
      <c r="O91" s="534">
        <v>2.0600712333428261E-3</v>
      </c>
      <c r="P91" s="534">
        <v>0</v>
      </c>
      <c r="Q91" s="533">
        <v>0</v>
      </c>
      <c r="R91" s="534">
        <v>0</v>
      </c>
      <c r="S91" s="534">
        <v>0</v>
      </c>
      <c r="T91" s="534">
        <v>0</v>
      </c>
      <c r="U91" s="534">
        <v>5.5660536679494235E-4</v>
      </c>
      <c r="V91" s="535"/>
    </row>
    <row r="92" spans="1:22">
      <c r="A92" s="530"/>
      <c r="B92" s="536" t="s">
        <v>760</v>
      </c>
      <c r="C92" s="537">
        <v>0</v>
      </c>
      <c r="D92" s="538">
        <v>0</v>
      </c>
      <c r="E92" s="538">
        <v>0</v>
      </c>
      <c r="F92" s="538">
        <v>0</v>
      </c>
      <c r="G92" s="538">
        <v>0</v>
      </c>
      <c r="H92" s="538">
        <v>0</v>
      </c>
      <c r="I92" s="538">
        <v>0</v>
      </c>
      <c r="J92" s="540">
        <v>0</v>
      </c>
      <c r="K92" s="540">
        <v>0</v>
      </c>
      <c r="L92" s="538">
        <v>0</v>
      </c>
      <c r="M92" s="538">
        <v>9.1926163564828335E-3</v>
      </c>
      <c r="N92" s="538">
        <v>0</v>
      </c>
      <c r="O92" s="540">
        <v>9.1926163564828335E-3</v>
      </c>
      <c r="P92" s="540">
        <v>0</v>
      </c>
      <c r="Q92" s="538">
        <v>0</v>
      </c>
      <c r="R92" s="540">
        <v>0</v>
      </c>
      <c r="S92" s="540">
        <v>0</v>
      </c>
      <c r="T92" s="540">
        <v>0</v>
      </c>
      <c r="U92" s="540">
        <v>1.4567735653087327E-3</v>
      </c>
      <c r="V92" s="535"/>
    </row>
    <row r="93" spans="1:22">
      <c r="A93" s="530"/>
      <c r="B93" s="508" t="s">
        <v>761</v>
      </c>
      <c r="C93" s="527">
        <v>0</v>
      </c>
      <c r="D93" s="528">
        <v>0</v>
      </c>
      <c r="E93" s="528">
        <v>0</v>
      </c>
      <c r="F93" s="528">
        <v>0</v>
      </c>
      <c r="G93" s="528">
        <v>0</v>
      </c>
      <c r="H93" s="528">
        <v>0</v>
      </c>
      <c r="I93" s="528">
        <v>0</v>
      </c>
      <c r="J93" s="529">
        <v>0</v>
      </c>
      <c r="K93" s="529">
        <v>0</v>
      </c>
      <c r="L93" s="528">
        <v>0</v>
      </c>
      <c r="M93" s="528">
        <v>0</v>
      </c>
      <c r="N93" s="528">
        <v>0</v>
      </c>
      <c r="O93" s="529">
        <v>0</v>
      </c>
      <c r="P93" s="529">
        <v>0</v>
      </c>
      <c r="Q93" s="528">
        <v>0</v>
      </c>
      <c r="R93" s="529">
        <v>0</v>
      </c>
      <c r="S93" s="529">
        <v>0</v>
      </c>
      <c r="T93" s="529">
        <v>0</v>
      </c>
      <c r="U93" s="529">
        <v>0</v>
      </c>
      <c r="V93" s="535"/>
    </row>
    <row r="94" spans="1:22">
      <c r="A94" s="530"/>
      <c r="B94" s="531" t="s">
        <v>762</v>
      </c>
      <c r="C94" s="532">
        <v>0</v>
      </c>
      <c r="D94" s="533">
        <v>0</v>
      </c>
      <c r="E94" s="533">
        <v>0</v>
      </c>
      <c r="F94" s="533">
        <v>0</v>
      </c>
      <c r="G94" s="533">
        <v>0</v>
      </c>
      <c r="H94" s="533">
        <v>0</v>
      </c>
      <c r="I94" s="533">
        <v>0</v>
      </c>
      <c r="J94" s="534">
        <v>0</v>
      </c>
      <c r="K94" s="534">
        <v>0</v>
      </c>
      <c r="L94" s="533">
        <v>0</v>
      </c>
      <c r="M94" s="533">
        <v>0</v>
      </c>
      <c r="N94" s="533">
        <v>0</v>
      </c>
      <c r="O94" s="534">
        <v>0</v>
      </c>
      <c r="P94" s="534">
        <v>0</v>
      </c>
      <c r="Q94" s="533">
        <v>0</v>
      </c>
      <c r="R94" s="534">
        <v>0</v>
      </c>
      <c r="S94" s="534">
        <v>0</v>
      </c>
      <c r="T94" s="534">
        <v>0</v>
      </c>
      <c r="U94" s="534">
        <v>0</v>
      </c>
      <c r="V94" s="535"/>
    </row>
    <row r="95" spans="1:22" ht="15.75" thickBot="1">
      <c r="A95" s="530"/>
      <c r="B95" s="542" t="s">
        <v>763</v>
      </c>
      <c r="C95" s="543">
        <v>0</v>
      </c>
      <c r="D95" s="544">
        <v>0</v>
      </c>
      <c r="E95" s="544">
        <v>0</v>
      </c>
      <c r="F95" s="544">
        <v>0</v>
      </c>
      <c r="G95" s="544">
        <v>0</v>
      </c>
      <c r="H95" s="544">
        <v>0</v>
      </c>
      <c r="I95" s="544">
        <v>0</v>
      </c>
      <c r="J95" s="545">
        <v>0</v>
      </c>
      <c r="K95" s="545">
        <v>0</v>
      </c>
      <c r="L95" s="544">
        <v>0</v>
      </c>
      <c r="M95" s="544">
        <v>0</v>
      </c>
      <c r="N95" s="544">
        <v>0</v>
      </c>
      <c r="O95" s="545">
        <v>0</v>
      </c>
      <c r="P95" s="545">
        <v>0</v>
      </c>
      <c r="Q95" s="544">
        <v>0</v>
      </c>
      <c r="R95" s="545">
        <v>0</v>
      </c>
      <c r="S95" s="545">
        <v>0</v>
      </c>
      <c r="T95" s="545">
        <v>0</v>
      </c>
      <c r="U95" s="545">
        <v>0</v>
      </c>
      <c r="V95" s="535"/>
    </row>
    <row r="96" spans="1:22" ht="15.75" thickTop="1">
      <c r="A96" s="530"/>
      <c r="B96" s="531" t="s">
        <v>764</v>
      </c>
      <c r="C96" s="532">
        <v>0.88135487977149596</v>
      </c>
      <c r="D96" s="533">
        <v>0</v>
      </c>
      <c r="E96" s="533">
        <v>0.87196428571428575</v>
      </c>
      <c r="F96" s="533">
        <v>0</v>
      </c>
      <c r="G96" s="533">
        <v>0</v>
      </c>
      <c r="H96" s="533">
        <v>0</v>
      </c>
      <c r="I96" s="533">
        <v>0</v>
      </c>
      <c r="J96" s="534">
        <v>0.88060383610162951</v>
      </c>
      <c r="K96" s="534">
        <v>0</v>
      </c>
      <c r="L96" s="533">
        <v>0</v>
      </c>
      <c r="M96" s="533">
        <v>0</v>
      </c>
      <c r="N96" s="533">
        <v>0</v>
      </c>
      <c r="O96" s="534">
        <v>0</v>
      </c>
      <c r="P96" s="534">
        <v>0</v>
      </c>
      <c r="Q96" s="533">
        <v>0</v>
      </c>
      <c r="R96" s="534">
        <v>0</v>
      </c>
      <c r="S96" s="534">
        <v>0</v>
      </c>
      <c r="T96" s="534">
        <v>0</v>
      </c>
      <c r="U96" s="534">
        <v>0.88060383610162951</v>
      </c>
      <c r="V96" s="535"/>
    </row>
    <row r="97" spans="1:22">
      <c r="A97" s="530"/>
      <c r="B97" s="531" t="s">
        <v>765</v>
      </c>
      <c r="C97" s="532">
        <v>0.86170024382602539</v>
      </c>
      <c r="D97" s="533">
        <v>0</v>
      </c>
      <c r="E97" s="533">
        <v>0.8203389830508474</v>
      </c>
      <c r="F97" s="533">
        <v>0</v>
      </c>
      <c r="G97" s="533">
        <v>0</v>
      </c>
      <c r="H97" s="533">
        <v>0</v>
      </c>
      <c r="I97" s="533">
        <v>0</v>
      </c>
      <c r="J97" s="534">
        <v>0.85765194524318611</v>
      </c>
      <c r="K97" s="534">
        <v>0</v>
      </c>
      <c r="L97" s="533">
        <v>0</v>
      </c>
      <c r="M97" s="533">
        <v>0</v>
      </c>
      <c r="N97" s="533">
        <v>0</v>
      </c>
      <c r="O97" s="534">
        <v>0</v>
      </c>
      <c r="P97" s="534">
        <v>0</v>
      </c>
      <c r="Q97" s="533">
        <v>0</v>
      </c>
      <c r="R97" s="534">
        <v>0</v>
      </c>
      <c r="S97" s="534">
        <v>0</v>
      </c>
      <c r="T97" s="534">
        <v>0</v>
      </c>
      <c r="U97" s="534">
        <v>0.85765194524318611</v>
      </c>
      <c r="V97" s="535"/>
    </row>
    <row r="98" spans="1:22">
      <c r="A98" s="530"/>
      <c r="B98" s="536" t="s">
        <v>766</v>
      </c>
      <c r="C98" s="537">
        <v>-1.9654635945470567</v>
      </c>
      <c r="D98" s="538">
        <v>0</v>
      </c>
      <c r="E98" s="538">
        <v>-5.1625302663438344</v>
      </c>
      <c r="F98" s="538">
        <v>0</v>
      </c>
      <c r="G98" s="538">
        <v>0</v>
      </c>
      <c r="H98" s="538">
        <v>0</v>
      </c>
      <c r="I98" s="538">
        <v>0</v>
      </c>
      <c r="J98" s="540">
        <v>-2.2951890858443402</v>
      </c>
      <c r="K98" s="540">
        <v>0</v>
      </c>
      <c r="L98" s="538">
        <v>0</v>
      </c>
      <c r="M98" s="538">
        <v>0</v>
      </c>
      <c r="N98" s="538">
        <v>0</v>
      </c>
      <c r="O98" s="540">
        <v>0</v>
      </c>
      <c r="P98" s="540">
        <v>0</v>
      </c>
      <c r="Q98" s="538">
        <v>0</v>
      </c>
      <c r="R98" s="540">
        <v>0</v>
      </c>
      <c r="S98" s="540">
        <v>0</v>
      </c>
      <c r="T98" s="540">
        <v>0</v>
      </c>
      <c r="U98" s="540">
        <v>-2.2951890858443402</v>
      </c>
      <c r="V98" s="535"/>
    </row>
    <row r="99" spans="1:22">
      <c r="A99" s="530"/>
      <c r="B99" s="508" t="s">
        <v>767</v>
      </c>
      <c r="C99" s="527">
        <v>0</v>
      </c>
      <c r="D99" s="528">
        <v>0</v>
      </c>
      <c r="E99" s="528">
        <v>0</v>
      </c>
      <c r="F99" s="528">
        <v>0</v>
      </c>
      <c r="G99" s="528">
        <v>0</v>
      </c>
      <c r="H99" s="528">
        <v>0</v>
      </c>
      <c r="I99" s="528">
        <v>0</v>
      </c>
      <c r="J99" s="529">
        <v>0</v>
      </c>
      <c r="K99" s="529">
        <v>0</v>
      </c>
      <c r="L99" s="528">
        <v>0</v>
      </c>
      <c r="M99" s="528">
        <v>0</v>
      </c>
      <c r="N99" s="528">
        <v>0</v>
      </c>
      <c r="O99" s="529">
        <v>0</v>
      </c>
      <c r="P99" s="529">
        <v>0</v>
      </c>
      <c r="Q99" s="528">
        <v>0</v>
      </c>
      <c r="R99" s="529">
        <v>0</v>
      </c>
      <c r="S99" s="529">
        <v>0</v>
      </c>
      <c r="T99" s="529">
        <v>0</v>
      </c>
      <c r="U99" s="529">
        <v>0</v>
      </c>
      <c r="V99" s="535"/>
    </row>
    <row r="100" spans="1:22">
      <c r="A100" s="530"/>
      <c r="B100" s="531" t="s">
        <v>768</v>
      </c>
      <c r="C100" s="532">
        <v>0</v>
      </c>
      <c r="D100" s="533">
        <v>0</v>
      </c>
      <c r="E100" s="533">
        <v>0</v>
      </c>
      <c r="F100" s="533">
        <v>0</v>
      </c>
      <c r="G100" s="533">
        <v>0</v>
      </c>
      <c r="H100" s="533">
        <v>0</v>
      </c>
      <c r="I100" s="533">
        <v>0</v>
      </c>
      <c r="J100" s="534">
        <v>0</v>
      </c>
      <c r="K100" s="534">
        <v>0</v>
      </c>
      <c r="L100" s="533">
        <v>0</v>
      </c>
      <c r="M100" s="533">
        <v>0</v>
      </c>
      <c r="N100" s="533">
        <v>0</v>
      </c>
      <c r="O100" s="534">
        <v>0</v>
      </c>
      <c r="P100" s="534">
        <v>0</v>
      </c>
      <c r="Q100" s="533">
        <v>0</v>
      </c>
      <c r="R100" s="534">
        <v>0</v>
      </c>
      <c r="S100" s="534">
        <v>0</v>
      </c>
      <c r="T100" s="534">
        <v>0</v>
      </c>
      <c r="U100" s="534">
        <v>0</v>
      </c>
      <c r="V100" s="535"/>
    </row>
    <row r="101" spans="1:22">
      <c r="A101" s="530"/>
      <c r="B101" s="536" t="s">
        <v>769</v>
      </c>
      <c r="C101" s="537">
        <v>0</v>
      </c>
      <c r="D101" s="538">
        <v>0</v>
      </c>
      <c r="E101" s="538">
        <v>0</v>
      </c>
      <c r="F101" s="538">
        <v>0</v>
      </c>
      <c r="G101" s="538">
        <v>0</v>
      </c>
      <c r="H101" s="538">
        <v>0</v>
      </c>
      <c r="I101" s="538">
        <v>0</v>
      </c>
      <c r="J101" s="540">
        <v>0</v>
      </c>
      <c r="K101" s="540">
        <v>0</v>
      </c>
      <c r="L101" s="538">
        <v>0</v>
      </c>
      <c r="M101" s="538">
        <v>0</v>
      </c>
      <c r="N101" s="538">
        <v>0</v>
      </c>
      <c r="O101" s="540">
        <v>0</v>
      </c>
      <c r="P101" s="540">
        <v>0</v>
      </c>
      <c r="Q101" s="538">
        <v>0</v>
      </c>
      <c r="R101" s="540">
        <v>0</v>
      </c>
      <c r="S101" s="540">
        <v>0</v>
      </c>
      <c r="T101" s="540">
        <v>0</v>
      </c>
      <c r="U101" s="540">
        <v>0</v>
      </c>
      <c r="V101" s="535"/>
    </row>
    <row r="102" spans="1:22">
      <c r="A102" s="530"/>
      <c r="B102" s="508" t="s">
        <v>770</v>
      </c>
      <c r="C102" s="527">
        <v>0.11864512022850401</v>
      </c>
      <c r="D102" s="528">
        <v>0</v>
      </c>
      <c r="E102" s="528">
        <v>0.12803571428571428</v>
      </c>
      <c r="F102" s="528">
        <v>0</v>
      </c>
      <c r="G102" s="528">
        <v>0</v>
      </c>
      <c r="H102" s="528">
        <v>0</v>
      </c>
      <c r="I102" s="528">
        <v>0</v>
      </c>
      <c r="J102" s="529">
        <v>0.11939616389837045</v>
      </c>
      <c r="K102" s="529">
        <v>0</v>
      </c>
      <c r="L102" s="528">
        <v>0</v>
      </c>
      <c r="M102" s="528">
        <v>0</v>
      </c>
      <c r="N102" s="528">
        <v>0</v>
      </c>
      <c r="O102" s="529">
        <v>0</v>
      </c>
      <c r="P102" s="529">
        <v>0</v>
      </c>
      <c r="Q102" s="528">
        <v>0</v>
      </c>
      <c r="R102" s="529">
        <v>0</v>
      </c>
      <c r="S102" s="529">
        <v>0</v>
      </c>
      <c r="T102" s="529">
        <v>0</v>
      </c>
      <c r="U102" s="529">
        <v>0.11939616389837045</v>
      </c>
      <c r="V102" s="535"/>
    </row>
    <row r="103" spans="1:22">
      <c r="A103" s="530"/>
      <c r="B103" s="531" t="s">
        <v>771</v>
      </c>
      <c r="C103" s="532">
        <v>0.13829975617397464</v>
      </c>
      <c r="D103" s="533">
        <v>0</v>
      </c>
      <c r="E103" s="533">
        <v>0.17966101694915254</v>
      </c>
      <c r="F103" s="533">
        <v>0</v>
      </c>
      <c r="G103" s="533">
        <v>0</v>
      </c>
      <c r="H103" s="533">
        <v>0</v>
      </c>
      <c r="I103" s="533">
        <v>0</v>
      </c>
      <c r="J103" s="534">
        <v>0.14234805475681389</v>
      </c>
      <c r="K103" s="534">
        <v>0</v>
      </c>
      <c r="L103" s="533">
        <v>0</v>
      </c>
      <c r="M103" s="533">
        <v>0</v>
      </c>
      <c r="N103" s="533">
        <v>0</v>
      </c>
      <c r="O103" s="534">
        <v>0</v>
      </c>
      <c r="P103" s="534">
        <v>0</v>
      </c>
      <c r="Q103" s="533">
        <v>0</v>
      </c>
      <c r="R103" s="534">
        <v>0</v>
      </c>
      <c r="S103" s="534">
        <v>0</v>
      </c>
      <c r="T103" s="534">
        <v>0</v>
      </c>
      <c r="U103" s="534">
        <v>0.14234805475681389</v>
      </c>
      <c r="V103" s="535"/>
    </row>
    <row r="104" spans="1:22">
      <c r="A104" s="530"/>
      <c r="B104" s="536" t="s">
        <v>772</v>
      </c>
      <c r="C104" s="537">
        <v>1.9654635945470622</v>
      </c>
      <c r="D104" s="538">
        <v>0</v>
      </c>
      <c r="E104" s="538">
        <v>5.1625302663438264</v>
      </c>
      <c r="F104" s="538">
        <v>0</v>
      </c>
      <c r="G104" s="538">
        <v>0</v>
      </c>
      <c r="H104" s="538">
        <v>0</v>
      </c>
      <c r="I104" s="538">
        <v>0</v>
      </c>
      <c r="J104" s="540">
        <v>2.2951890858443442</v>
      </c>
      <c r="K104" s="540">
        <v>0</v>
      </c>
      <c r="L104" s="538">
        <v>0</v>
      </c>
      <c r="M104" s="538">
        <v>0</v>
      </c>
      <c r="N104" s="538">
        <v>0</v>
      </c>
      <c r="O104" s="540">
        <v>0</v>
      </c>
      <c r="P104" s="540">
        <v>0</v>
      </c>
      <c r="Q104" s="538">
        <v>0</v>
      </c>
      <c r="R104" s="540">
        <v>0</v>
      </c>
      <c r="S104" s="540">
        <v>0</v>
      </c>
      <c r="T104" s="540">
        <v>0</v>
      </c>
      <c r="U104" s="540">
        <v>2.2951890858443442</v>
      </c>
      <c r="V104" s="535"/>
    </row>
    <row r="105" spans="1:22">
      <c r="A105" s="530"/>
      <c r="B105" s="508" t="s">
        <v>773</v>
      </c>
      <c r="C105" s="527">
        <v>0</v>
      </c>
      <c r="D105" s="528">
        <v>0</v>
      </c>
      <c r="E105" s="528">
        <v>0</v>
      </c>
      <c r="F105" s="528">
        <v>0</v>
      </c>
      <c r="G105" s="528">
        <v>0</v>
      </c>
      <c r="H105" s="528">
        <v>0</v>
      </c>
      <c r="I105" s="528">
        <v>0</v>
      </c>
      <c r="J105" s="529">
        <v>0</v>
      </c>
      <c r="K105" s="529">
        <v>0</v>
      </c>
      <c r="L105" s="528">
        <v>0</v>
      </c>
      <c r="M105" s="528">
        <v>0</v>
      </c>
      <c r="N105" s="528">
        <v>0</v>
      </c>
      <c r="O105" s="529">
        <v>0</v>
      </c>
      <c r="P105" s="529">
        <v>0</v>
      </c>
      <c r="Q105" s="528">
        <v>0</v>
      </c>
      <c r="R105" s="529">
        <v>0</v>
      </c>
      <c r="S105" s="529">
        <v>0</v>
      </c>
      <c r="T105" s="529">
        <v>0</v>
      </c>
      <c r="U105" s="529">
        <v>0</v>
      </c>
      <c r="V105" s="535"/>
    </row>
    <row r="106" spans="1:22">
      <c r="A106" s="530"/>
      <c r="B106" s="531" t="s">
        <v>774</v>
      </c>
      <c r="C106" s="532">
        <v>0</v>
      </c>
      <c r="D106" s="533">
        <v>0</v>
      </c>
      <c r="E106" s="533">
        <v>0</v>
      </c>
      <c r="F106" s="533">
        <v>0</v>
      </c>
      <c r="G106" s="533">
        <v>0</v>
      </c>
      <c r="H106" s="533">
        <v>0</v>
      </c>
      <c r="I106" s="533">
        <v>0</v>
      </c>
      <c r="J106" s="534">
        <v>0</v>
      </c>
      <c r="K106" s="534">
        <v>0</v>
      </c>
      <c r="L106" s="533">
        <v>0</v>
      </c>
      <c r="M106" s="533">
        <v>0</v>
      </c>
      <c r="N106" s="533">
        <v>0</v>
      </c>
      <c r="O106" s="534">
        <v>0</v>
      </c>
      <c r="P106" s="534">
        <v>0</v>
      </c>
      <c r="Q106" s="533">
        <v>0</v>
      </c>
      <c r="R106" s="534">
        <v>0</v>
      </c>
      <c r="S106" s="534">
        <v>0</v>
      </c>
      <c r="T106" s="534">
        <v>0</v>
      </c>
      <c r="U106" s="534">
        <v>0</v>
      </c>
      <c r="V106" s="535"/>
    </row>
    <row r="107" spans="1:22">
      <c r="A107" s="530"/>
      <c r="B107" s="536" t="s">
        <v>775</v>
      </c>
      <c r="C107" s="537">
        <v>0</v>
      </c>
      <c r="D107" s="538">
        <v>0</v>
      </c>
      <c r="E107" s="538">
        <v>0</v>
      </c>
      <c r="F107" s="538">
        <v>0</v>
      </c>
      <c r="G107" s="538">
        <v>0</v>
      </c>
      <c r="H107" s="538">
        <v>0</v>
      </c>
      <c r="I107" s="538">
        <v>0</v>
      </c>
      <c r="J107" s="540">
        <v>0</v>
      </c>
      <c r="K107" s="540">
        <v>0</v>
      </c>
      <c r="L107" s="538">
        <v>0</v>
      </c>
      <c r="M107" s="538">
        <v>0</v>
      </c>
      <c r="N107" s="538">
        <v>0</v>
      </c>
      <c r="O107" s="540">
        <v>0</v>
      </c>
      <c r="P107" s="540">
        <v>0</v>
      </c>
      <c r="Q107" s="538">
        <v>0</v>
      </c>
      <c r="R107" s="540">
        <v>0</v>
      </c>
      <c r="S107" s="540">
        <v>0</v>
      </c>
      <c r="T107" s="540">
        <v>0</v>
      </c>
      <c r="U107" s="540">
        <v>0</v>
      </c>
      <c r="V107" s="535"/>
    </row>
    <row r="108" spans="1:22">
      <c r="A108" s="530"/>
      <c r="B108" s="508" t="s">
        <v>776</v>
      </c>
      <c r="C108" s="527">
        <v>0</v>
      </c>
      <c r="D108" s="528">
        <v>0</v>
      </c>
      <c r="E108" s="528">
        <v>0</v>
      </c>
      <c r="F108" s="528">
        <v>0</v>
      </c>
      <c r="G108" s="528">
        <v>0</v>
      </c>
      <c r="H108" s="528">
        <v>0</v>
      </c>
      <c r="I108" s="528">
        <v>0</v>
      </c>
      <c r="J108" s="529">
        <v>0</v>
      </c>
      <c r="K108" s="529">
        <v>0</v>
      </c>
      <c r="L108" s="528">
        <v>0</v>
      </c>
      <c r="M108" s="528">
        <v>0</v>
      </c>
      <c r="N108" s="528">
        <v>0</v>
      </c>
      <c r="O108" s="529">
        <v>0</v>
      </c>
      <c r="P108" s="529">
        <v>0</v>
      </c>
      <c r="Q108" s="528">
        <v>0</v>
      </c>
      <c r="R108" s="529">
        <v>0</v>
      </c>
      <c r="S108" s="529">
        <v>0</v>
      </c>
      <c r="T108" s="529">
        <v>0</v>
      </c>
      <c r="U108" s="529">
        <v>0</v>
      </c>
      <c r="V108" s="535"/>
    </row>
    <row r="109" spans="1:22">
      <c r="A109" s="530"/>
      <c r="B109" s="531" t="s">
        <v>777</v>
      </c>
      <c r="C109" s="532">
        <v>0</v>
      </c>
      <c r="D109" s="533">
        <v>0</v>
      </c>
      <c r="E109" s="533">
        <v>0</v>
      </c>
      <c r="F109" s="533">
        <v>0</v>
      </c>
      <c r="G109" s="533">
        <v>0</v>
      </c>
      <c r="H109" s="533">
        <v>0</v>
      </c>
      <c r="I109" s="533">
        <v>0</v>
      </c>
      <c r="J109" s="534">
        <v>0</v>
      </c>
      <c r="K109" s="534">
        <v>0</v>
      </c>
      <c r="L109" s="533">
        <v>0</v>
      </c>
      <c r="M109" s="533">
        <v>0</v>
      </c>
      <c r="N109" s="533">
        <v>0</v>
      </c>
      <c r="O109" s="534">
        <v>0</v>
      </c>
      <c r="P109" s="534">
        <v>0</v>
      </c>
      <c r="Q109" s="533">
        <v>0</v>
      </c>
      <c r="R109" s="534">
        <v>0</v>
      </c>
      <c r="S109" s="534">
        <v>0</v>
      </c>
      <c r="T109" s="534">
        <v>0</v>
      </c>
      <c r="U109" s="534">
        <v>0</v>
      </c>
      <c r="V109" s="535"/>
    </row>
    <row r="110" spans="1:22">
      <c r="A110" s="530"/>
      <c r="B110" s="536" t="s">
        <v>778</v>
      </c>
      <c r="C110" s="537">
        <v>0</v>
      </c>
      <c r="D110" s="538">
        <v>0</v>
      </c>
      <c r="E110" s="538">
        <v>0</v>
      </c>
      <c r="F110" s="538">
        <v>0</v>
      </c>
      <c r="G110" s="538">
        <v>0</v>
      </c>
      <c r="H110" s="538">
        <v>0</v>
      </c>
      <c r="I110" s="538">
        <v>0</v>
      </c>
      <c r="J110" s="540">
        <v>0</v>
      </c>
      <c r="K110" s="540">
        <v>0</v>
      </c>
      <c r="L110" s="538">
        <v>0</v>
      </c>
      <c r="M110" s="538">
        <v>0</v>
      </c>
      <c r="N110" s="538">
        <v>0</v>
      </c>
      <c r="O110" s="540">
        <v>0</v>
      </c>
      <c r="P110" s="540">
        <v>0</v>
      </c>
      <c r="Q110" s="538">
        <v>0</v>
      </c>
      <c r="R110" s="540">
        <v>0</v>
      </c>
      <c r="S110" s="540">
        <v>0</v>
      </c>
      <c r="T110" s="540">
        <v>0</v>
      </c>
      <c r="U110" s="540">
        <v>0</v>
      </c>
      <c r="V110" s="535"/>
    </row>
    <row r="111" spans="1:22">
      <c r="A111" s="530"/>
      <c r="B111" s="508" t="s">
        <v>779</v>
      </c>
      <c r="C111" s="527">
        <v>0</v>
      </c>
      <c r="D111" s="528">
        <v>0</v>
      </c>
      <c r="E111" s="528">
        <v>0</v>
      </c>
      <c r="F111" s="528">
        <v>0</v>
      </c>
      <c r="G111" s="528">
        <v>0</v>
      </c>
      <c r="H111" s="528">
        <v>0</v>
      </c>
      <c r="I111" s="528">
        <v>0</v>
      </c>
      <c r="J111" s="529">
        <v>0</v>
      </c>
      <c r="K111" s="529">
        <v>0</v>
      </c>
      <c r="L111" s="528">
        <v>0</v>
      </c>
      <c r="M111" s="528">
        <v>0</v>
      </c>
      <c r="N111" s="528">
        <v>0</v>
      </c>
      <c r="O111" s="529">
        <v>0</v>
      </c>
      <c r="P111" s="529">
        <v>0</v>
      </c>
      <c r="Q111" s="528">
        <v>0</v>
      </c>
      <c r="R111" s="529">
        <v>0</v>
      </c>
      <c r="S111" s="529">
        <v>0</v>
      </c>
      <c r="T111" s="529">
        <v>0</v>
      </c>
      <c r="U111" s="529">
        <v>0</v>
      </c>
      <c r="V111" s="535"/>
    </row>
    <row r="112" spans="1:22">
      <c r="A112" s="530"/>
      <c r="B112" s="531" t="s">
        <v>780</v>
      </c>
      <c r="C112" s="532">
        <v>0</v>
      </c>
      <c r="D112" s="533">
        <v>0</v>
      </c>
      <c r="E112" s="533">
        <v>0</v>
      </c>
      <c r="F112" s="533">
        <v>0</v>
      </c>
      <c r="G112" s="533">
        <v>0</v>
      </c>
      <c r="H112" s="533">
        <v>0</v>
      </c>
      <c r="I112" s="533">
        <v>0</v>
      </c>
      <c r="J112" s="534">
        <v>0</v>
      </c>
      <c r="K112" s="534">
        <v>0</v>
      </c>
      <c r="L112" s="533">
        <v>0</v>
      </c>
      <c r="M112" s="533">
        <v>0</v>
      </c>
      <c r="N112" s="533">
        <v>0</v>
      </c>
      <c r="O112" s="534">
        <v>0</v>
      </c>
      <c r="P112" s="534">
        <v>0</v>
      </c>
      <c r="Q112" s="533">
        <v>0</v>
      </c>
      <c r="R112" s="534">
        <v>0</v>
      </c>
      <c r="S112" s="534">
        <v>0</v>
      </c>
      <c r="T112" s="534">
        <v>0</v>
      </c>
      <c r="U112" s="534">
        <v>0</v>
      </c>
      <c r="V112" s="535"/>
    </row>
    <row r="113" spans="1:22" ht="15.75" thickBot="1">
      <c r="A113" s="546"/>
      <c r="B113" s="547" t="s">
        <v>781</v>
      </c>
      <c r="C113" s="548">
        <v>0</v>
      </c>
      <c r="D113" s="549">
        <v>0</v>
      </c>
      <c r="E113" s="549">
        <v>0</v>
      </c>
      <c r="F113" s="549">
        <v>0</v>
      </c>
      <c r="G113" s="549">
        <v>0</v>
      </c>
      <c r="H113" s="549">
        <v>0</v>
      </c>
      <c r="I113" s="549">
        <v>0</v>
      </c>
      <c r="J113" s="550">
        <v>0</v>
      </c>
      <c r="K113" s="550">
        <v>0</v>
      </c>
      <c r="L113" s="549">
        <v>0</v>
      </c>
      <c r="M113" s="549">
        <v>0</v>
      </c>
      <c r="N113" s="549">
        <v>0</v>
      </c>
      <c r="O113" s="550">
        <v>0</v>
      </c>
      <c r="P113" s="550">
        <v>0</v>
      </c>
      <c r="Q113" s="549">
        <v>0</v>
      </c>
      <c r="R113" s="550">
        <v>0</v>
      </c>
      <c r="S113" s="550">
        <v>0</v>
      </c>
      <c r="T113" s="550">
        <v>0</v>
      </c>
      <c r="U113" s="550">
        <v>0</v>
      </c>
      <c r="V113" s="535"/>
    </row>
    <row r="114" spans="1:22">
      <c r="A114" s="526" t="s">
        <v>120</v>
      </c>
      <c r="B114" s="508" t="s">
        <v>746</v>
      </c>
      <c r="C114" s="527">
        <v>0</v>
      </c>
      <c r="D114" s="528">
        <v>0</v>
      </c>
      <c r="E114" s="528">
        <v>0</v>
      </c>
      <c r="F114" s="528">
        <v>0</v>
      </c>
      <c r="G114" s="528">
        <v>0</v>
      </c>
      <c r="H114" s="528">
        <v>0</v>
      </c>
      <c r="I114" s="528">
        <v>0</v>
      </c>
      <c r="J114" s="529">
        <v>0</v>
      </c>
      <c r="K114" s="529">
        <v>0.70124270248340814</v>
      </c>
      <c r="L114" s="528">
        <v>0.70042309797017321</v>
      </c>
      <c r="M114" s="528">
        <v>0</v>
      </c>
      <c r="N114" s="528">
        <v>0.67652482269503544</v>
      </c>
      <c r="O114" s="529">
        <v>0.7010531495748622</v>
      </c>
      <c r="P114" s="529">
        <v>0</v>
      </c>
      <c r="Q114" s="528">
        <v>0</v>
      </c>
      <c r="R114" s="529">
        <v>0</v>
      </c>
      <c r="S114" s="529">
        <v>0</v>
      </c>
      <c r="T114" s="529">
        <v>0</v>
      </c>
      <c r="U114" s="529">
        <v>0.7010531495748622</v>
      </c>
      <c r="V114" s="535"/>
    </row>
    <row r="115" spans="1:22">
      <c r="A115" s="530"/>
      <c r="B115" s="531" t="s">
        <v>747</v>
      </c>
      <c r="C115" s="532">
        <v>0</v>
      </c>
      <c r="D115" s="533">
        <v>0</v>
      </c>
      <c r="E115" s="533">
        <v>0</v>
      </c>
      <c r="F115" s="533">
        <v>0</v>
      </c>
      <c r="G115" s="533">
        <v>0</v>
      </c>
      <c r="H115" s="533">
        <v>0</v>
      </c>
      <c r="I115" s="533">
        <v>0</v>
      </c>
      <c r="J115" s="534">
        <v>0</v>
      </c>
      <c r="K115" s="534">
        <v>0.68155794100468259</v>
      </c>
      <c r="L115" s="533">
        <v>0.65369080351523123</v>
      </c>
      <c r="M115" s="533">
        <v>0</v>
      </c>
      <c r="N115" s="533">
        <v>0.63510321696820826</v>
      </c>
      <c r="O115" s="534">
        <v>0.67874404844007197</v>
      </c>
      <c r="P115" s="534">
        <v>0</v>
      </c>
      <c r="Q115" s="533">
        <v>0</v>
      </c>
      <c r="R115" s="534">
        <v>0</v>
      </c>
      <c r="S115" s="534">
        <v>0</v>
      </c>
      <c r="T115" s="534">
        <v>0</v>
      </c>
      <c r="U115" s="534">
        <v>0.67874404844007197</v>
      </c>
      <c r="V115" s="535"/>
    </row>
    <row r="116" spans="1:22">
      <c r="A116" s="530"/>
      <c r="B116" s="536" t="s">
        <v>748</v>
      </c>
      <c r="C116" s="537">
        <v>0</v>
      </c>
      <c r="D116" s="538">
        <v>0</v>
      </c>
      <c r="E116" s="538">
        <v>0</v>
      </c>
      <c r="F116" s="538">
        <v>0</v>
      </c>
      <c r="G116" s="538">
        <v>0</v>
      </c>
      <c r="H116" s="538">
        <v>0</v>
      </c>
      <c r="I116" s="538">
        <v>0</v>
      </c>
      <c r="J116" s="540">
        <v>0</v>
      </c>
      <c r="K116" s="540">
        <v>-1.9684761478725554</v>
      </c>
      <c r="L116" s="538">
        <v>-4.6732294454941981</v>
      </c>
      <c r="M116" s="538">
        <v>0</v>
      </c>
      <c r="N116" s="538">
        <v>-4.1421605726827178</v>
      </c>
      <c r="O116" s="540">
        <v>-2.2309101134790232</v>
      </c>
      <c r="P116" s="540">
        <v>0</v>
      </c>
      <c r="Q116" s="538">
        <v>0</v>
      </c>
      <c r="R116" s="540">
        <v>0</v>
      </c>
      <c r="S116" s="540">
        <v>0</v>
      </c>
      <c r="T116" s="540">
        <v>0</v>
      </c>
      <c r="U116" s="540">
        <v>-2.2309101134790232</v>
      </c>
      <c r="V116" s="535"/>
    </row>
    <row r="117" spans="1:22">
      <c r="A117" s="530"/>
      <c r="B117" s="508" t="s">
        <v>749</v>
      </c>
      <c r="C117" s="527">
        <v>0</v>
      </c>
      <c r="D117" s="528">
        <v>0</v>
      </c>
      <c r="E117" s="528">
        <v>0</v>
      </c>
      <c r="F117" s="528">
        <v>0</v>
      </c>
      <c r="G117" s="528">
        <v>0</v>
      </c>
      <c r="H117" s="528">
        <v>0</v>
      </c>
      <c r="I117" s="528">
        <v>0</v>
      </c>
      <c r="J117" s="529">
        <v>0</v>
      </c>
      <c r="K117" s="529">
        <v>3.5257835439813721E-2</v>
      </c>
      <c r="L117" s="528">
        <v>3.8287514909137677E-2</v>
      </c>
      <c r="M117" s="528">
        <v>0</v>
      </c>
      <c r="N117" s="528">
        <v>3.3427895981087467E-2</v>
      </c>
      <c r="O117" s="529">
        <v>3.5524317511253616E-2</v>
      </c>
      <c r="P117" s="529">
        <v>0</v>
      </c>
      <c r="Q117" s="528">
        <v>0</v>
      </c>
      <c r="R117" s="529">
        <v>0</v>
      </c>
      <c r="S117" s="529">
        <v>0</v>
      </c>
      <c r="T117" s="529">
        <v>0</v>
      </c>
      <c r="U117" s="529">
        <v>3.5524317511253616E-2</v>
      </c>
      <c r="V117" s="535"/>
    </row>
    <row r="118" spans="1:22">
      <c r="A118" s="530"/>
      <c r="B118" s="531" t="s">
        <v>750</v>
      </c>
      <c r="C118" s="532">
        <v>0</v>
      </c>
      <c r="D118" s="533">
        <v>0</v>
      </c>
      <c r="E118" s="533">
        <v>0</v>
      </c>
      <c r="F118" s="533">
        <v>0</v>
      </c>
      <c r="G118" s="533">
        <v>0</v>
      </c>
      <c r="H118" s="533">
        <v>0</v>
      </c>
      <c r="I118" s="533">
        <v>0</v>
      </c>
      <c r="J118" s="534">
        <v>0</v>
      </c>
      <c r="K118" s="534">
        <v>3.7630649415853396E-2</v>
      </c>
      <c r="L118" s="533">
        <v>4.003852178563147E-2</v>
      </c>
      <c r="M118" s="533">
        <v>0</v>
      </c>
      <c r="N118" s="533">
        <v>2.9170012754499503E-2</v>
      </c>
      <c r="O118" s="534">
        <v>3.7815552718998606E-2</v>
      </c>
      <c r="P118" s="534">
        <v>0</v>
      </c>
      <c r="Q118" s="533">
        <v>0</v>
      </c>
      <c r="R118" s="534">
        <v>0</v>
      </c>
      <c r="S118" s="534">
        <v>0</v>
      </c>
      <c r="T118" s="534">
        <v>0</v>
      </c>
      <c r="U118" s="534">
        <v>3.7815552718998606E-2</v>
      </c>
      <c r="V118" s="535"/>
    </row>
    <row r="119" spans="1:22">
      <c r="A119" s="530"/>
      <c r="B119" s="536" t="s">
        <v>751</v>
      </c>
      <c r="C119" s="537">
        <v>0</v>
      </c>
      <c r="D119" s="538">
        <v>0</v>
      </c>
      <c r="E119" s="538">
        <v>0</v>
      </c>
      <c r="F119" s="538">
        <v>0</v>
      </c>
      <c r="G119" s="538">
        <v>0</v>
      </c>
      <c r="H119" s="538">
        <v>0</v>
      </c>
      <c r="I119" s="538">
        <v>0</v>
      </c>
      <c r="J119" s="540">
        <v>0</v>
      </c>
      <c r="K119" s="540">
        <v>0.23728139760396741</v>
      </c>
      <c r="L119" s="538">
        <v>0.17510068764937936</v>
      </c>
      <c r="M119" s="538">
        <v>0</v>
      </c>
      <c r="N119" s="538">
        <v>-0.4257883226587964</v>
      </c>
      <c r="O119" s="540">
        <v>0.22912352077449905</v>
      </c>
      <c r="P119" s="540">
        <v>0</v>
      </c>
      <c r="Q119" s="538">
        <v>0</v>
      </c>
      <c r="R119" s="540">
        <v>0</v>
      </c>
      <c r="S119" s="540">
        <v>0</v>
      </c>
      <c r="T119" s="540">
        <v>0</v>
      </c>
      <c r="U119" s="540">
        <v>0.22912352077449905</v>
      </c>
      <c r="V119" s="535"/>
    </row>
    <row r="120" spans="1:22">
      <c r="A120" s="530"/>
      <c r="B120" s="508" t="s">
        <v>752</v>
      </c>
      <c r="C120" s="527">
        <v>0</v>
      </c>
      <c r="D120" s="528">
        <v>0</v>
      </c>
      <c r="E120" s="528">
        <v>0</v>
      </c>
      <c r="F120" s="528">
        <v>0</v>
      </c>
      <c r="G120" s="528">
        <v>0</v>
      </c>
      <c r="H120" s="528">
        <v>0</v>
      </c>
      <c r="I120" s="528">
        <v>0</v>
      </c>
      <c r="J120" s="529">
        <v>0</v>
      </c>
      <c r="K120" s="529">
        <v>0.26251395946070338</v>
      </c>
      <c r="L120" s="528">
        <v>0.26034782123352412</v>
      </c>
      <c r="M120" s="528">
        <v>0</v>
      </c>
      <c r="N120" s="528">
        <v>0.29004728132387708</v>
      </c>
      <c r="O120" s="529">
        <v>0.26244560977680886</v>
      </c>
      <c r="P120" s="529">
        <v>0</v>
      </c>
      <c r="Q120" s="528">
        <v>0</v>
      </c>
      <c r="R120" s="529">
        <v>0</v>
      </c>
      <c r="S120" s="529">
        <v>0</v>
      </c>
      <c r="T120" s="529">
        <v>0</v>
      </c>
      <c r="U120" s="529">
        <v>0.26244560977680886</v>
      </c>
      <c r="V120" s="535"/>
    </row>
    <row r="121" spans="1:22">
      <c r="A121" s="530"/>
      <c r="B121" s="531" t="s">
        <v>753</v>
      </c>
      <c r="C121" s="532">
        <v>0</v>
      </c>
      <c r="D121" s="533">
        <v>0</v>
      </c>
      <c r="E121" s="533">
        <v>0</v>
      </c>
      <c r="F121" s="533">
        <v>0</v>
      </c>
      <c r="G121" s="533">
        <v>0</v>
      </c>
      <c r="H121" s="533">
        <v>0</v>
      </c>
      <c r="I121" s="533">
        <v>0</v>
      </c>
      <c r="J121" s="534">
        <v>0</v>
      </c>
      <c r="K121" s="534">
        <v>0.27571724495903072</v>
      </c>
      <c r="L121" s="533">
        <v>0.30627067469913727</v>
      </c>
      <c r="M121" s="533">
        <v>0</v>
      </c>
      <c r="N121" s="533">
        <v>0.33381359535169353</v>
      </c>
      <c r="O121" s="534">
        <v>0.27883582675068724</v>
      </c>
      <c r="P121" s="534">
        <v>0</v>
      </c>
      <c r="Q121" s="533">
        <v>0</v>
      </c>
      <c r="R121" s="534">
        <v>0</v>
      </c>
      <c r="S121" s="534">
        <v>0</v>
      </c>
      <c r="T121" s="534">
        <v>0</v>
      </c>
      <c r="U121" s="534">
        <v>0.27883582675068724</v>
      </c>
      <c r="V121" s="535"/>
    </row>
    <row r="122" spans="1:22">
      <c r="A122" s="530"/>
      <c r="B122" s="536" t="s">
        <v>754</v>
      </c>
      <c r="C122" s="537">
        <v>0</v>
      </c>
      <c r="D122" s="538">
        <v>0</v>
      </c>
      <c r="E122" s="538">
        <v>0</v>
      </c>
      <c r="F122" s="538">
        <v>0</v>
      </c>
      <c r="G122" s="538">
        <v>0</v>
      </c>
      <c r="H122" s="538">
        <v>0</v>
      </c>
      <c r="I122" s="538">
        <v>0</v>
      </c>
      <c r="J122" s="540">
        <v>0</v>
      </c>
      <c r="K122" s="540">
        <v>1.3203285498327333</v>
      </c>
      <c r="L122" s="538">
        <v>4.5922853465613143</v>
      </c>
      <c r="M122" s="538">
        <v>0</v>
      </c>
      <c r="N122" s="538">
        <v>4.3766314027816442</v>
      </c>
      <c r="O122" s="540">
        <v>1.639021697387838</v>
      </c>
      <c r="P122" s="540">
        <v>0</v>
      </c>
      <c r="Q122" s="538">
        <v>0</v>
      </c>
      <c r="R122" s="540">
        <v>0</v>
      </c>
      <c r="S122" s="540">
        <v>0</v>
      </c>
      <c r="T122" s="540">
        <v>0</v>
      </c>
      <c r="U122" s="540">
        <v>1.639021697387838</v>
      </c>
      <c r="V122" s="535"/>
    </row>
    <row r="123" spans="1:22">
      <c r="A123" s="530"/>
      <c r="B123" s="508" t="s">
        <v>755</v>
      </c>
      <c r="C123" s="527">
        <v>0</v>
      </c>
      <c r="D123" s="528">
        <v>0</v>
      </c>
      <c r="E123" s="528">
        <v>0</v>
      </c>
      <c r="F123" s="528">
        <v>0</v>
      </c>
      <c r="G123" s="528">
        <v>0</v>
      </c>
      <c r="H123" s="528">
        <v>0</v>
      </c>
      <c r="I123" s="528">
        <v>0</v>
      </c>
      <c r="J123" s="529">
        <v>0</v>
      </c>
      <c r="K123" s="529">
        <v>1.1359944907311129E-4</v>
      </c>
      <c r="L123" s="528">
        <v>0</v>
      </c>
      <c r="M123" s="528">
        <v>0</v>
      </c>
      <c r="N123" s="528">
        <v>0</v>
      </c>
      <c r="O123" s="529">
        <v>1.0275865692122508E-4</v>
      </c>
      <c r="P123" s="529">
        <v>0</v>
      </c>
      <c r="Q123" s="528">
        <v>0</v>
      </c>
      <c r="R123" s="529">
        <v>0</v>
      </c>
      <c r="S123" s="529">
        <v>0</v>
      </c>
      <c r="T123" s="529">
        <v>0</v>
      </c>
      <c r="U123" s="529">
        <v>1.0275865692122508E-4</v>
      </c>
      <c r="V123" s="535"/>
    </row>
    <row r="124" spans="1:22">
      <c r="A124" s="530"/>
      <c r="B124" s="531" t="s">
        <v>756</v>
      </c>
      <c r="C124" s="532">
        <v>0</v>
      </c>
      <c r="D124" s="533">
        <v>0</v>
      </c>
      <c r="E124" s="533">
        <v>0</v>
      </c>
      <c r="F124" s="533">
        <v>0</v>
      </c>
      <c r="G124" s="533">
        <v>0</v>
      </c>
      <c r="H124" s="533">
        <v>0</v>
      </c>
      <c r="I124" s="533">
        <v>0</v>
      </c>
      <c r="J124" s="534">
        <v>0</v>
      </c>
      <c r="K124" s="534">
        <v>1.0779619479432376E-4</v>
      </c>
      <c r="L124" s="533">
        <v>0</v>
      </c>
      <c r="M124" s="533">
        <v>0</v>
      </c>
      <c r="N124" s="533">
        <v>0</v>
      </c>
      <c r="O124" s="534">
        <v>9.7247080685638224E-5</v>
      </c>
      <c r="P124" s="534">
        <v>0</v>
      </c>
      <c r="Q124" s="533">
        <v>0</v>
      </c>
      <c r="R124" s="534">
        <v>0</v>
      </c>
      <c r="S124" s="534">
        <v>0</v>
      </c>
      <c r="T124" s="534">
        <v>0</v>
      </c>
      <c r="U124" s="534">
        <v>9.7247080685638224E-5</v>
      </c>
      <c r="V124" s="535"/>
    </row>
    <row r="125" spans="1:22">
      <c r="A125" s="530"/>
      <c r="B125" s="536" t="s">
        <v>757</v>
      </c>
      <c r="C125" s="537">
        <v>0</v>
      </c>
      <c r="D125" s="538">
        <v>0</v>
      </c>
      <c r="E125" s="538">
        <v>0</v>
      </c>
      <c r="F125" s="538">
        <v>0</v>
      </c>
      <c r="G125" s="538">
        <v>0</v>
      </c>
      <c r="H125" s="538">
        <v>0</v>
      </c>
      <c r="I125" s="538">
        <v>0</v>
      </c>
      <c r="J125" s="540">
        <v>0</v>
      </c>
      <c r="K125" s="540">
        <v>-5.8032542787875318E-4</v>
      </c>
      <c r="L125" s="538">
        <v>0</v>
      </c>
      <c r="M125" s="538">
        <v>0</v>
      </c>
      <c r="N125" s="538">
        <v>0</v>
      </c>
      <c r="O125" s="540">
        <v>-5.5115762355868562E-4</v>
      </c>
      <c r="P125" s="540">
        <v>0</v>
      </c>
      <c r="Q125" s="538">
        <v>0</v>
      </c>
      <c r="R125" s="540">
        <v>0</v>
      </c>
      <c r="S125" s="540">
        <v>0</v>
      </c>
      <c r="T125" s="540">
        <v>0</v>
      </c>
      <c r="U125" s="540">
        <v>-5.5115762355868562E-4</v>
      </c>
      <c r="V125" s="535"/>
    </row>
    <row r="126" spans="1:22">
      <c r="A126" s="530"/>
      <c r="B126" s="508" t="s">
        <v>758</v>
      </c>
      <c r="C126" s="527">
        <v>0</v>
      </c>
      <c r="D126" s="528">
        <v>0</v>
      </c>
      <c r="E126" s="528">
        <v>0</v>
      </c>
      <c r="F126" s="528">
        <v>0</v>
      </c>
      <c r="G126" s="528">
        <v>0</v>
      </c>
      <c r="H126" s="528">
        <v>0</v>
      </c>
      <c r="I126" s="528">
        <v>0</v>
      </c>
      <c r="J126" s="529">
        <v>0</v>
      </c>
      <c r="K126" s="529">
        <v>4.7473124537627111E-4</v>
      </c>
      <c r="L126" s="528">
        <v>9.4156588716497668E-4</v>
      </c>
      <c r="M126" s="528">
        <v>0</v>
      </c>
      <c r="N126" s="528">
        <v>0</v>
      </c>
      <c r="O126" s="529">
        <v>5.1489466356562411E-4</v>
      </c>
      <c r="P126" s="529">
        <v>0</v>
      </c>
      <c r="Q126" s="528">
        <v>0</v>
      </c>
      <c r="R126" s="529">
        <v>0</v>
      </c>
      <c r="S126" s="529">
        <v>0</v>
      </c>
      <c r="T126" s="529">
        <v>0</v>
      </c>
      <c r="U126" s="529">
        <v>5.1489466356562411E-4</v>
      </c>
      <c r="V126" s="535"/>
    </row>
    <row r="127" spans="1:22">
      <c r="A127" s="530"/>
      <c r="B127" s="531" t="s">
        <v>759</v>
      </c>
      <c r="C127" s="532">
        <v>0</v>
      </c>
      <c r="D127" s="533">
        <v>0</v>
      </c>
      <c r="E127" s="533">
        <v>0</v>
      </c>
      <c r="F127" s="533">
        <v>0</v>
      </c>
      <c r="G127" s="533">
        <v>0</v>
      </c>
      <c r="H127" s="533">
        <v>0</v>
      </c>
      <c r="I127" s="533">
        <v>0</v>
      </c>
      <c r="J127" s="534">
        <v>0</v>
      </c>
      <c r="K127" s="534">
        <v>4.6061485140685646E-3</v>
      </c>
      <c r="L127" s="533">
        <v>0</v>
      </c>
      <c r="M127" s="533">
        <v>0</v>
      </c>
      <c r="N127" s="533">
        <v>1.9131749255987529E-3</v>
      </c>
      <c r="O127" s="534">
        <v>4.1643140480905555E-3</v>
      </c>
      <c r="P127" s="534">
        <v>0</v>
      </c>
      <c r="Q127" s="533">
        <v>0</v>
      </c>
      <c r="R127" s="534">
        <v>0</v>
      </c>
      <c r="S127" s="534">
        <v>0</v>
      </c>
      <c r="T127" s="534">
        <v>0</v>
      </c>
      <c r="U127" s="534">
        <v>4.1643140480905555E-3</v>
      </c>
      <c r="V127" s="535"/>
    </row>
    <row r="128" spans="1:22">
      <c r="A128" s="530"/>
      <c r="B128" s="536" t="s">
        <v>760</v>
      </c>
      <c r="C128" s="537">
        <v>0</v>
      </c>
      <c r="D128" s="538">
        <v>0</v>
      </c>
      <c r="E128" s="538">
        <v>0</v>
      </c>
      <c r="F128" s="538">
        <v>0</v>
      </c>
      <c r="G128" s="538">
        <v>0</v>
      </c>
      <c r="H128" s="538">
        <v>0</v>
      </c>
      <c r="I128" s="538">
        <v>0</v>
      </c>
      <c r="J128" s="540">
        <v>0</v>
      </c>
      <c r="K128" s="540">
        <v>0.41314172686922934</v>
      </c>
      <c r="L128" s="538">
        <v>-9.4156588716497666E-2</v>
      </c>
      <c r="M128" s="538">
        <v>0</v>
      </c>
      <c r="N128" s="538">
        <v>0</v>
      </c>
      <c r="O128" s="540">
        <v>0.36494193845249318</v>
      </c>
      <c r="P128" s="540">
        <v>0</v>
      </c>
      <c r="Q128" s="538">
        <v>0</v>
      </c>
      <c r="R128" s="540">
        <v>0</v>
      </c>
      <c r="S128" s="540">
        <v>0</v>
      </c>
      <c r="T128" s="540">
        <v>0</v>
      </c>
      <c r="U128" s="540">
        <v>0.36494193845249318</v>
      </c>
      <c r="V128" s="535"/>
    </row>
    <row r="129" spans="1:22">
      <c r="A129" s="530"/>
      <c r="B129" s="508" t="s">
        <v>761</v>
      </c>
      <c r="C129" s="527">
        <v>0</v>
      </c>
      <c r="D129" s="528">
        <v>0</v>
      </c>
      <c r="E129" s="528">
        <v>0</v>
      </c>
      <c r="F129" s="528">
        <v>0</v>
      </c>
      <c r="G129" s="528">
        <v>0</v>
      </c>
      <c r="H129" s="528">
        <v>0</v>
      </c>
      <c r="I129" s="528">
        <v>0</v>
      </c>
      <c r="J129" s="529">
        <v>0</v>
      </c>
      <c r="K129" s="529">
        <v>3.9717192162539019E-4</v>
      </c>
      <c r="L129" s="528">
        <v>0</v>
      </c>
      <c r="M129" s="528">
        <v>0</v>
      </c>
      <c r="N129" s="528">
        <v>0</v>
      </c>
      <c r="O129" s="529">
        <v>3.5926981658846325E-4</v>
      </c>
      <c r="P129" s="529">
        <v>0</v>
      </c>
      <c r="Q129" s="528">
        <v>0</v>
      </c>
      <c r="R129" s="529">
        <v>0</v>
      </c>
      <c r="S129" s="529">
        <v>0</v>
      </c>
      <c r="T129" s="529">
        <v>0</v>
      </c>
      <c r="U129" s="529">
        <v>3.5926981658846325E-4</v>
      </c>
      <c r="V129" s="535"/>
    </row>
    <row r="130" spans="1:22">
      <c r="A130" s="530"/>
      <c r="B130" s="531" t="s">
        <v>762</v>
      </c>
      <c r="C130" s="532">
        <v>0</v>
      </c>
      <c r="D130" s="533">
        <v>0</v>
      </c>
      <c r="E130" s="533">
        <v>0</v>
      </c>
      <c r="F130" s="533">
        <v>0</v>
      </c>
      <c r="G130" s="533">
        <v>0</v>
      </c>
      <c r="H130" s="533">
        <v>0</v>
      </c>
      <c r="I130" s="533">
        <v>0</v>
      </c>
      <c r="J130" s="534">
        <v>0</v>
      </c>
      <c r="K130" s="534">
        <v>3.8021991157045492E-4</v>
      </c>
      <c r="L130" s="533">
        <v>0</v>
      </c>
      <c r="M130" s="533">
        <v>0</v>
      </c>
      <c r="N130" s="533">
        <v>0</v>
      </c>
      <c r="O130" s="534">
        <v>3.4301096146600966E-4</v>
      </c>
      <c r="P130" s="534">
        <v>0</v>
      </c>
      <c r="Q130" s="533">
        <v>0</v>
      </c>
      <c r="R130" s="534">
        <v>0</v>
      </c>
      <c r="S130" s="534">
        <v>0</v>
      </c>
      <c r="T130" s="534">
        <v>0</v>
      </c>
      <c r="U130" s="534">
        <v>3.4301096146600966E-4</v>
      </c>
      <c r="V130" s="535"/>
    </row>
    <row r="131" spans="1:22" ht="15.75" thickBot="1">
      <c r="A131" s="530"/>
      <c r="B131" s="542" t="s">
        <v>763</v>
      </c>
      <c r="C131" s="543">
        <v>0</v>
      </c>
      <c r="D131" s="544">
        <v>0</v>
      </c>
      <c r="E131" s="544">
        <v>0</v>
      </c>
      <c r="F131" s="544">
        <v>0</v>
      </c>
      <c r="G131" s="544">
        <v>0</v>
      </c>
      <c r="H131" s="544">
        <v>0</v>
      </c>
      <c r="I131" s="544">
        <v>0</v>
      </c>
      <c r="J131" s="545">
        <v>0</v>
      </c>
      <c r="K131" s="545">
        <v>-1.6952010054935274E-3</v>
      </c>
      <c r="L131" s="544">
        <v>0</v>
      </c>
      <c r="M131" s="544">
        <v>0</v>
      </c>
      <c r="N131" s="544">
        <v>0</v>
      </c>
      <c r="O131" s="545">
        <v>-1.6258855122453593E-3</v>
      </c>
      <c r="P131" s="545">
        <v>0</v>
      </c>
      <c r="Q131" s="544">
        <v>0</v>
      </c>
      <c r="R131" s="545">
        <v>0</v>
      </c>
      <c r="S131" s="545">
        <v>0</v>
      </c>
      <c r="T131" s="545">
        <v>0</v>
      </c>
      <c r="U131" s="545">
        <v>-1.6258855122453593E-3</v>
      </c>
      <c r="V131" s="535"/>
    </row>
    <row r="132" spans="1:22" ht="15.75" thickTop="1">
      <c r="A132" s="530"/>
      <c r="B132" s="531" t="s">
        <v>764</v>
      </c>
      <c r="C132" s="532">
        <v>0</v>
      </c>
      <c r="D132" s="533">
        <v>0</v>
      </c>
      <c r="E132" s="533">
        <v>0</v>
      </c>
      <c r="F132" s="533">
        <v>0</v>
      </c>
      <c r="G132" s="533">
        <v>0</v>
      </c>
      <c r="H132" s="533">
        <v>0</v>
      </c>
      <c r="I132" s="533">
        <v>0</v>
      </c>
      <c r="J132" s="534">
        <v>0</v>
      </c>
      <c r="K132" s="534">
        <v>0</v>
      </c>
      <c r="L132" s="533">
        <v>0</v>
      </c>
      <c r="M132" s="533">
        <v>0</v>
      </c>
      <c r="N132" s="533">
        <v>0</v>
      </c>
      <c r="O132" s="534">
        <v>0</v>
      </c>
      <c r="P132" s="534">
        <v>0</v>
      </c>
      <c r="Q132" s="533">
        <v>0</v>
      </c>
      <c r="R132" s="534">
        <v>0</v>
      </c>
      <c r="S132" s="534">
        <v>0</v>
      </c>
      <c r="T132" s="534">
        <v>0</v>
      </c>
      <c r="U132" s="534">
        <v>0</v>
      </c>
      <c r="V132" s="535"/>
    </row>
    <row r="133" spans="1:22">
      <c r="A133" s="530"/>
      <c r="B133" s="531" t="s">
        <v>765</v>
      </c>
      <c r="C133" s="532">
        <v>0</v>
      </c>
      <c r="D133" s="533">
        <v>0</v>
      </c>
      <c r="E133" s="533">
        <v>0</v>
      </c>
      <c r="F133" s="533">
        <v>0</v>
      </c>
      <c r="G133" s="533">
        <v>0</v>
      </c>
      <c r="H133" s="533">
        <v>0</v>
      </c>
      <c r="I133" s="533">
        <v>0</v>
      </c>
      <c r="J133" s="534">
        <v>0</v>
      </c>
      <c r="K133" s="534">
        <v>0</v>
      </c>
      <c r="L133" s="533">
        <v>0</v>
      </c>
      <c r="M133" s="533">
        <v>0</v>
      </c>
      <c r="N133" s="533">
        <v>0</v>
      </c>
      <c r="O133" s="534">
        <v>0</v>
      </c>
      <c r="P133" s="534">
        <v>0</v>
      </c>
      <c r="Q133" s="533">
        <v>0</v>
      </c>
      <c r="R133" s="534">
        <v>0</v>
      </c>
      <c r="S133" s="534">
        <v>0</v>
      </c>
      <c r="T133" s="534">
        <v>0</v>
      </c>
      <c r="U133" s="534">
        <v>0</v>
      </c>
      <c r="V133" s="535"/>
    </row>
    <row r="134" spans="1:22">
      <c r="A134" s="530"/>
      <c r="B134" s="536" t="s">
        <v>766</v>
      </c>
      <c r="C134" s="537">
        <v>0</v>
      </c>
      <c r="D134" s="538">
        <v>0</v>
      </c>
      <c r="E134" s="538">
        <v>0</v>
      </c>
      <c r="F134" s="538">
        <v>0</v>
      </c>
      <c r="G134" s="538">
        <v>0</v>
      </c>
      <c r="H134" s="538">
        <v>0</v>
      </c>
      <c r="I134" s="538">
        <v>0</v>
      </c>
      <c r="J134" s="540">
        <v>0</v>
      </c>
      <c r="K134" s="540">
        <v>0</v>
      </c>
      <c r="L134" s="538">
        <v>0</v>
      </c>
      <c r="M134" s="538">
        <v>0</v>
      </c>
      <c r="N134" s="538">
        <v>0</v>
      </c>
      <c r="O134" s="540">
        <v>0</v>
      </c>
      <c r="P134" s="540">
        <v>0</v>
      </c>
      <c r="Q134" s="538">
        <v>0</v>
      </c>
      <c r="R134" s="540">
        <v>0</v>
      </c>
      <c r="S134" s="540">
        <v>0</v>
      </c>
      <c r="T134" s="540">
        <v>0</v>
      </c>
      <c r="U134" s="540">
        <v>0</v>
      </c>
      <c r="V134" s="535"/>
    </row>
    <row r="135" spans="1:22">
      <c r="A135" s="530"/>
      <c r="B135" s="508" t="s">
        <v>767</v>
      </c>
      <c r="C135" s="527">
        <v>0</v>
      </c>
      <c r="D135" s="528">
        <v>0</v>
      </c>
      <c r="E135" s="528">
        <v>0</v>
      </c>
      <c r="F135" s="528">
        <v>0</v>
      </c>
      <c r="G135" s="528">
        <v>0</v>
      </c>
      <c r="H135" s="528">
        <v>0</v>
      </c>
      <c r="I135" s="528">
        <v>0</v>
      </c>
      <c r="J135" s="529">
        <v>0</v>
      </c>
      <c r="K135" s="529">
        <v>0</v>
      </c>
      <c r="L135" s="528">
        <v>0</v>
      </c>
      <c r="M135" s="528">
        <v>0</v>
      </c>
      <c r="N135" s="528">
        <v>0</v>
      </c>
      <c r="O135" s="529">
        <v>0</v>
      </c>
      <c r="P135" s="529">
        <v>0</v>
      </c>
      <c r="Q135" s="528">
        <v>0</v>
      </c>
      <c r="R135" s="529">
        <v>0</v>
      </c>
      <c r="S135" s="529">
        <v>0</v>
      </c>
      <c r="T135" s="529">
        <v>0</v>
      </c>
      <c r="U135" s="529">
        <v>0</v>
      </c>
      <c r="V135" s="535"/>
    </row>
    <row r="136" spans="1:22">
      <c r="A136" s="530"/>
      <c r="B136" s="531" t="s">
        <v>768</v>
      </c>
      <c r="C136" s="532">
        <v>0</v>
      </c>
      <c r="D136" s="533">
        <v>0</v>
      </c>
      <c r="E136" s="533">
        <v>0</v>
      </c>
      <c r="F136" s="533">
        <v>0</v>
      </c>
      <c r="G136" s="533">
        <v>0</v>
      </c>
      <c r="H136" s="533">
        <v>0</v>
      </c>
      <c r="I136" s="533">
        <v>0</v>
      </c>
      <c r="J136" s="534">
        <v>0</v>
      </c>
      <c r="K136" s="534">
        <v>0</v>
      </c>
      <c r="L136" s="533">
        <v>0</v>
      </c>
      <c r="M136" s="533">
        <v>0</v>
      </c>
      <c r="N136" s="533">
        <v>0</v>
      </c>
      <c r="O136" s="534">
        <v>0</v>
      </c>
      <c r="P136" s="534">
        <v>0</v>
      </c>
      <c r="Q136" s="533">
        <v>0</v>
      </c>
      <c r="R136" s="534">
        <v>0</v>
      </c>
      <c r="S136" s="534">
        <v>0</v>
      </c>
      <c r="T136" s="534">
        <v>0</v>
      </c>
      <c r="U136" s="534">
        <v>0</v>
      </c>
      <c r="V136" s="535"/>
    </row>
    <row r="137" spans="1:22">
      <c r="A137" s="530"/>
      <c r="B137" s="536" t="s">
        <v>769</v>
      </c>
      <c r="C137" s="537">
        <v>0</v>
      </c>
      <c r="D137" s="538">
        <v>0</v>
      </c>
      <c r="E137" s="538">
        <v>0</v>
      </c>
      <c r="F137" s="538">
        <v>0</v>
      </c>
      <c r="G137" s="538">
        <v>0</v>
      </c>
      <c r="H137" s="538">
        <v>0</v>
      </c>
      <c r="I137" s="538">
        <v>0</v>
      </c>
      <c r="J137" s="540">
        <v>0</v>
      </c>
      <c r="K137" s="540">
        <v>0</v>
      </c>
      <c r="L137" s="538">
        <v>0</v>
      </c>
      <c r="M137" s="538">
        <v>0</v>
      </c>
      <c r="N137" s="538">
        <v>0</v>
      </c>
      <c r="O137" s="540">
        <v>0</v>
      </c>
      <c r="P137" s="540">
        <v>0</v>
      </c>
      <c r="Q137" s="538">
        <v>0</v>
      </c>
      <c r="R137" s="540">
        <v>0</v>
      </c>
      <c r="S137" s="540">
        <v>0</v>
      </c>
      <c r="T137" s="540">
        <v>0</v>
      </c>
      <c r="U137" s="540">
        <v>0</v>
      </c>
      <c r="V137" s="535"/>
    </row>
    <row r="138" spans="1:22">
      <c r="A138" s="530"/>
      <c r="B138" s="508" t="s">
        <v>770</v>
      </c>
      <c r="C138" s="527">
        <v>0</v>
      </c>
      <c r="D138" s="528">
        <v>0</v>
      </c>
      <c r="E138" s="528">
        <v>0</v>
      </c>
      <c r="F138" s="528">
        <v>0</v>
      </c>
      <c r="G138" s="528">
        <v>0</v>
      </c>
      <c r="H138" s="528">
        <v>0</v>
      </c>
      <c r="I138" s="528">
        <v>0</v>
      </c>
      <c r="J138" s="529">
        <v>0</v>
      </c>
      <c r="K138" s="529">
        <v>0</v>
      </c>
      <c r="L138" s="528">
        <v>0</v>
      </c>
      <c r="M138" s="528">
        <v>0</v>
      </c>
      <c r="N138" s="528">
        <v>0</v>
      </c>
      <c r="O138" s="529">
        <v>0</v>
      </c>
      <c r="P138" s="529">
        <v>0</v>
      </c>
      <c r="Q138" s="528">
        <v>0</v>
      </c>
      <c r="R138" s="529">
        <v>0</v>
      </c>
      <c r="S138" s="529">
        <v>0</v>
      </c>
      <c r="T138" s="529">
        <v>0</v>
      </c>
      <c r="U138" s="529">
        <v>0</v>
      </c>
      <c r="V138" s="535"/>
    </row>
    <row r="139" spans="1:22">
      <c r="A139" s="530"/>
      <c r="B139" s="531" t="s">
        <v>771</v>
      </c>
      <c r="C139" s="532">
        <v>0</v>
      </c>
      <c r="D139" s="533">
        <v>0</v>
      </c>
      <c r="E139" s="533">
        <v>0</v>
      </c>
      <c r="F139" s="533">
        <v>0</v>
      </c>
      <c r="G139" s="533">
        <v>0</v>
      </c>
      <c r="H139" s="533">
        <v>0</v>
      </c>
      <c r="I139" s="533">
        <v>0</v>
      </c>
      <c r="J139" s="534">
        <v>0</v>
      </c>
      <c r="K139" s="534">
        <v>0</v>
      </c>
      <c r="L139" s="533">
        <v>0</v>
      </c>
      <c r="M139" s="533">
        <v>0</v>
      </c>
      <c r="N139" s="533">
        <v>0</v>
      </c>
      <c r="O139" s="534">
        <v>0</v>
      </c>
      <c r="P139" s="534">
        <v>0</v>
      </c>
      <c r="Q139" s="533">
        <v>0</v>
      </c>
      <c r="R139" s="534">
        <v>0</v>
      </c>
      <c r="S139" s="534">
        <v>0</v>
      </c>
      <c r="T139" s="534">
        <v>0</v>
      </c>
      <c r="U139" s="534">
        <v>0</v>
      </c>
      <c r="V139" s="535"/>
    </row>
    <row r="140" spans="1:22">
      <c r="A140" s="530"/>
      <c r="B140" s="536" t="s">
        <v>772</v>
      </c>
      <c r="C140" s="537">
        <v>0</v>
      </c>
      <c r="D140" s="538">
        <v>0</v>
      </c>
      <c r="E140" s="538">
        <v>0</v>
      </c>
      <c r="F140" s="538">
        <v>0</v>
      </c>
      <c r="G140" s="538">
        <v>0</v>
      </c>
      <c r="H140" s="538">
        <v>0</v>
      </c>
      <c r="I140" s="538">
        <v>0</v>
      </c>
      <c r="J140" s="540">
        <v>0</v>
      </c>
      <c r="K140" s="540">
        <v>0</v>
      </c>
      <c r="L140" s="538">
        <v>0</v>
      </c>
      <c r="M140" s="538">
        <v>0</v>
      </c>
      <c r="N140" s="538">
        <v>0</v>
      </c>
      <c r="O140" s="540">
        <v>0</v>
      </c>
      <c r="P140" s="540">
        <v>0</v>
      </c>
      <c r="Q140" s="538">
        <v>0</v>
      </c>
      <c r="R140" s="540">
        <v>0</v>
      </c>
      <c r="S140" s="540">
        <v>0</v>
      </c>
      <c r="T140" s="540">
        <v>0</v>
      </c>
      <c r="U140" s="540">
        <v>0</v>
      </c>
      <c r="V140" s="535"/>
    </row>
    <row r="141" spans="1:22">
      <c r="A141" s="530"/>
      <c r="B141" s="508" t="s">
        <v>773</v>
      </c>
      <c r="C141" s="527">
        <v>0</v>
      </c>
      <c r="D141" s="528">
        <v>0</v>
      </c>
      <c r="E141" s="528">
        <v>0</v>
      </c>
      <c r="F141" s="528">
        <v>0</v>
      </c>
      <c r="G141" s="528">
        <v>0</v>
      </c>
      <c r="H141" s="528">
        <v>0</v>
      </c>
      <c r="I141" s="528">
        <v>0</v>
      </c>
      <c r="J141" s="529">
        <v>0</v>
      </c>
      <c r="K141" s="529">
        <v>0</v>
      </c>
      <c r="L141" s="528">
        <v>0</v>
      </c>
      <c r="M141" s="528">
        <v>0</v>
      </c>
      <c r="N141" s="528">
        <v>0</v>
      </c>
      <c r="O141" s="529">
        <v>0</v>
      </c>
      <c r="P141" s="529">
        <v>0</v>
      </c>
      <c r="Q141" s="528">
        <v>0</v>
      </c>
      <c r="R141" s="529">
        <v>0</v>
      </c>
      <c r="S141" s="529">
        <v>0</v>
      </c>
      <c r="T141" s="529">
        <v>0</v>
      </c>
      <c r="U141" s="529">
        <v>0</v>
      </c>
      <c r="V141" s="535"/>
    </row>
    <row r="142" spans="1:22">
      <c r="A142" s="530"/>
      <c r="B142" s="531" t="s">
        <v>774</v>
      </c>
      <c r="C142" s="532">
        <v>0</v>
      </c>
      <c r="D142" s="533">
        <v>0</v>
      </c>
      <c r="E142" s="533">
        <v>0</v>
      </c>
      <c r="F142" s="533">
        <v>0</v>
      </c>
      <c r="G142" s="533">
        <v>0</v>
      </c>
      <c r="H142" s="533">
        <v>0</v>
      </c>
      <c r="I142" s="533">
        <v>0</v>
      </c>
      <c r="J142" s="534">
        <v>0</v>
      </c>
      <c r="K142" s="534">
        <v>0</v>
      </c>
      <c r="L142" s="533">
        <v>0</v>
      </c>
      <c r="M142" s="533">
        <v>0</v>
      </c>
      <c r="N142" s="533">
        <v>0</v>
      </c>
      <c r="O142" s="534">
        <v>0</v>
      </c>
      <c r="P142" s="534">
        <v>0</v>
      </c>
      <c r="Q142" s="533">
        <v>0</v>
      </c>
      <c r="R142" s="534">
        <v>0</v>
      </c>
      <c r="S142" s="534">
        <v>0</v>
      </c>
      <c r="T142" s="534">
        <v>0</v>
      </c>
      <c r="U142" s="534">
        <v>0</v>
      </c>
      <c r="V142" s="535"/>
    </row>
    <row r="143" spans="1:22">
      <c r="A143" s="530"/>
      <c r="B143" s="536" t="s">
        <v>775</v>
      </c>
      <c r="C143" s="537">
        <v>0</v>
      </c>
      <c r="D143" s="538">
        <v>0</v>
      </c>
      <c r="E143" s="538">
        <v>0</v>
      </c>
      <c r="F143" s="538">
        <v>0</v>
      </c>
      <c r="G143" s="538">
        <v>0</v>
      </c>
      <c r="H143" s="538">
        <v>0</v>
      </c>
      <c r="I143" s="538">
        <v>0</v>
      </c>
      <c r="J143" s="540">
        <v>0</v>
      </c>
      <c r="K143" s="540">
        <v>0</v>
      </c>
      <c r="L143" s="538">
        <v>0</v>
      </c>
      <c r="M143" s="538">
        <v>0</v>
      </c>
      <c r="N143" s="538">
        <v>0</v>
      </c>
      <c r="O143" s="540">
        <v>0</v>
      </c>
      <c r="P143" s="540">
        <v>0</v>
      </c>
      <c r="Q143" s="538">
        <v>0</v>
      </c>
      <c r="R143" s="540">
        <v>0</v>
      </c>
      <c r="S143" s="540">
        <v>0</v>
      </c>
      <c r="T143" s="540">
        <v>0</v>
      </c>
      <c r="U143" s="540">
        <v>0</v>
      </c>
      <c r="V143" s="535"/>
    </row>
    <row r="144" spans="1:22">
      <c r="A144" s="530"/>
      <c r="B144" s="508" t="s">
        <v>776</v>
      </c>
      <c r="C144" s="527">
        <v>0</v>
      </c>
      <c r="D144" s="528">
        <v>0</v>
      </c>
      <c r="E144" s="528">
        <v>0</v>
      </c>
      <c r="F144" s="528">
        <v>0</v>
      </c>
      <c r="G144" s="528">
        <v>0</v>
      </c>
      <c r="H144" s="528">
        <v>0</v>
      </c>
      <c r="I144" s="528">
        <v>0</v>
      </c>
      <c r="J144" s="529">
        <v>0</v>
      </c>
      <c r="K144" s="529">
        <v>0</v>
      </c>
      <c r="L144" s="528">
        <v>0</v>
      </c>
      <c r="M144" s="528">
        <v>0</v>
      </c>
      <c r="N144" s="528">
        <v>0</v>
      </c>
      <c r="O144" s="529">
        <v>0</v>
      </c>
      <c r="P144" s="529">
        <v>0</v>
      </c>
      <c r="Q144" s="528">
        <v>0</v>
      </c>
      <c r="R144" s="529">
        <v>0</v>
      </c>
      <c r="S144" s="529">
        <v>0</v>
      </c>
      <c r="T144" s="529">
        <v>0</v>
      </c>
      <c r="U144" s="529">
        <v>0</v>
      </c>
      <c r="V144" s="535"/>
    </row>
    <row r="145" spans="1:22">
      <c r="A145" s="530"/>
      <c r="B145" s="531" t="s">
        <v>777</v>
      </c>
      <c r="C145" s="532">
        <v>0</v>
      </c>
      <c r="D145" s="533">
        <v>0</v>
      </c>
      <c r="E145" s="533">
        <v>0</v>
      </c>
      <c r="F145" s="533">
        <v>0</v>
      </c>
      <c r="G145" s="533">
        <v>0</v>
      </c>
      <c r="H145" s="533">
        <v>0</v>
      </c>
      <c r="I145" s="533">
        <v>0</v>
      </c>
      <c r="J145" s="534">
        <v>0</v>
      </c>
      <c r="K145" s="534">
        <v>0</v>
      </c>
      <c r="L145" s="533">
        <v>0</v>
      </c>
      <c r="M145" s="533">
        <v>0</v>
      </c>
      <c r="N145" s="533">
        <v>0</v>
      </c>
      <c r="O145" s="534">
        <v>0</v>
      </c>
      <c r="P145" s="534">
        <v>0</v>
      </c>
      <c r="Q145" s="533">
        <v>0</v>
      </c>
      <c r="R145" s="534">
        <v>0</v>
      </c>
      <c r="S145" s="534">
        <v>0</v>
      </c>
      <c r="T145" s="534">
        <v>0</v>
      </c>
      <c r="U145" s="534">
        <v>0</v>
      </c>
      <c r="V145" s="535"/>
    </row>
    <row r="146" spans="1:22">
      <c r="A146" s="530"/>
      <c r="B146" s="536" t="s">
        <v>778</v>
      </c>
      <c r="C146" s="537">
        <v>0</v>
      </c>
      <c r="D146" s="538">
        <v>0</v>
      </c>
      <c r="E146" s="538">
        <v>0</v>
      </c>
      <c r="F146" s="538">
        <v>0</v>
      </c>
      <c r="G146" s="538">
        <v>0</v>
      </c>
      <c r="H146" s="538">
        <v>0</v>
      </c>
      <c r="I146" s="538">
        <v>0</v>
      </c>
      <c r="J146" s="540">
        <v>0</v>
      </c>
      <c r="K146" s="540">
        <v>0</v>
      </c>
      <c r="L146" s="538">
        <v>0</v>
      </c>
      <c r="M146" s="538">
        <v>0</v>
      </c>
      <c r="N146" s="538">
        <v>0</v>
      </c>
      <c r="O146" s="540">
        <v>0</v>
      </c>
      <c r="P146" s="540">
        <v>0</v>
      </c>
      <c r="Q146" s="538">
        <v>0</v>
      </c>
      <c r="R146" s="540">
        <v>0</v>
      </c>
      <c r="S146" s="540">
        <v>0</v>
      </c>
      <c r="T146" s="540">
        <v>0</v>
      </c>
      <c r="U146" s="540">
        <v>0</v>
      </c>
      <c r="V146" s="535"/>
    </row>
    <row r="147" spans="1:22">
      <c r="A147" s="530"/>
      <c r="B147" s="508" t="s">
        <v>779</v>
      </c>
      <c r="C147" s="527">
        <v>0</v>
      </c>
      <c r="D147" s="528">
        <v>0</v>
      </c>
      <c r="E147" s="528">
        <v>0</v>
      </c>
      <c r="F147" s="528">
        <v>0</v>
      </c>
      <c r="G147" s="528">
        <v>0</v>
      </c>
      <c r="H147" s="528">
        <v>0</v>
      </c>
      <c r="I147" s="528">
        <v>0</v>
      </c>
      <c r="J147" s="529">
        <v>0</v>
      </c>
      <c r="K147" s="529">
        <v>0</v>
      </c>
      <c r="L147" s="528">
        <v>0</v>
      </c>
      <c r="M147" s="528">
        <v>0</v>
      </c>
      <c r="N147" s="528">
        <v>0</v>
      </c>
      <c r="O147" s="529">
        <v>0</v>
      </c>
      <c r="P147" s="529">
        <v>0</v>
      </c>
      <c r="Q147" s="528">
        <v>0</v>
      </c>
      <c r="R147" s="529">
        <v>0</v>
      </c>
      <c r="S147" s="529">
        <v>0</v>
      </c>
      <c r="T147" s="529">
        <v>0</v>
      </c>
      <c r="U147" s="529">
        <v>0</v>
      </c>
      <c r="V147" s="535"/>
    </row>
    <row r="148" spans="1:22">
      <c r="A148" s="530"/>
      <c r="B148" s="531" t="s">
        <v>780</v>
      </c>
      <c r="C148" s="532">
        <v>0</v>
      </c>
      <c r="D148" s="533">
        <v>0</v>
      </c>
      <c r="E148" s="533">
        <v>0</v>
      </c>
      <c r="F148" s="533">
        <v>0</v>
      </c>
      <c r="G148" s="533">
        <v>0</v>
      </c>
      <c r="H148" s="533">
        <v>0</v>
      </c>
      <c r="I148" s="533">
        <v>0</v>
      </c>
      <c r="J148" s="534">
        <v>0</v>
      </c>
      <c r="K148" s="534">
        <v>0</v>
      </c>
      <c r="L148" s="533">
        <v>0</v>
      </c>
      <c r="M148" s="533">
        <v>0</v>
      </c>
      <c r="N148" s="533">
        <v>0</v>
      </c>
      <c r="O148" s="534">
        <v>0</v>
      </c>
      <c r="P148" s="534">
        <v>0</v>
      </c>
      <c r="Q148" s="533">
        <v>0</v>
      </c>
      <c r="R148" s="534">
        <v>0</v>
      </c>
      <c r="S148" s="534">
        <v>0</v>
      </c>
      <c r="T148" s="534">
        <v>0</v>
      </c>
      <c r="U148" s="534">
        <v>0</v>
      </c>
      <c r="V148" s="535"/>
    </row>
    <row r="149" spans="1:22" ht="15.75" thickBot="1">
      <c r="A149" s="546"/>
      <c r="B149" s="547" t="s">
        <v>781</v>
      </c>
      <c r="C149" s="548">
        <v>0</v>
      </c>
      <c r="D149" s="549">
        <v>0</v>
      </c>
      <c r="E149" s="549">
        <v>0</v>
      </c>
      <c r="F149" s="549">
        <v>0</v>
      </c>
      <c r="G149" s="549">
        <v>0</v>
      </c>
      <c r="H149" s="549">
        <v>0</v>
      </c>
      <c r="I149" s="549">
        <v>0</v>
      </c>
      <c r="J149" s="550">
        <v>0</v>
      </c>
      <c r="K149" s="550">
        <v>0</v>
      </c>
      <c r="L149" s="549">
        <v>0</v>
      </c>
      <c r="M149" s="549">
        <v>0</v>
      </c>
      <c r="N149" s="549">
        <v>0</v>
      </c>
      <c r="O149" s="550">
        <v>0</v>
      </c>
      <c r="P149" s="550">
        <v>0</v>
      </c>
      <c r="Q149" s="549">
        <v>0</v>
      </c>
      <c r="R149" s="550">
        <v>0</v>
      </c>
      <c r="S149" s="550">
        <v>0</v>
      </c>
      <c r="T149" s="550">
        <v>0</v>
      </c>
      <c r="U149" s="550">
        <v>0</v>
      </c>
      <c r="V149" s="535"/>
    </row>
    <row r="150" spans="1:22">
      <c r="A150" s="526" t="s">
        <v>149</v>
      </c>
      <c r="B150" s="508" t="s">
        <v>746</v>
      </c>
      <c r="C150" s="527">
        <v>0.85857848517535507</v>
      </c>
      <c r="D150" s="528">
        <v>0.9504342029567806</v>
      </c>
      <c r="E150" s="528">
        <v>0.76291649046360266</v>
      </c>
      <c r="F150" s="528">
        <v>0.8040362959383055</v>
      </c>
      <c r="G150" s="528">
        <v>0.9032533342002389</v>
      </c>
      <c r="H150" s="528">
        <v>0.85098144654599073</v>
      </c>
      <c r="I150" s="528">
        <v>0</v>
      </c>
      <c r="J150" s="529">
        <v>0.82425096877257975</v>
      </c>
      <c r="K150" s="529">
        <v>0.66901538548037964</v>
      </c>
      <c r="L150" s="528">
        <v>0</v>
      </c>
      <c r="M150" s="528">
        <v>0</v>
      </c>
      <c r="N150" s="528">
        <v>0.47249362275593204</v>
      </c>
      <c r="O150" s="529">
        <v>0.65388022744627061</v>
      </c>
      <c r="P150" s="529">
        <v>0.66080643318978394</v>
      </c>
      <c r="Q150" s="528">
        <v>0</v>
      </c>
      <c r="R150" s="529">
        <v>0.66080643318978394</v>
      </c>
      <c r="S150" s="529">
        <v>0</v>
      </c>
      <c r="T150" s="529">
        <v>0</v>
      </c>
      <c r="U150" s="529">
        <v>0.77905130511737419</v>
      </c>
      <c r="V150" s="535"/>
    </row>
    <row r="151" spans="1:22">
      <c r="A151" s="530"/>
      <c r="B151" s="531" t="s">
        <v>747</v>
      </c>
      <c r="C151" s="532">
        <v>0.84783453924052055</v>
      </c>
      <c r="D151" s="533">
        <v>0.93803275398833874</v>
      </c>
      <c r="E151" s="533">
        <v>0.7439621195240862</v>
      </c>
      <c r="F151" s="533">
        <v>0.79196318884875594</v>
      </c>
      <c r="G151" s="533">
        <v>0.85305159922699059</v>
      </c>
      <c r="H151" s="533">
        <v>0.82193678141848658</v>
      </c>
      <c r="I151" s="533">
        <v>0</v>
      </c>
      <c r="J151" s="534">
        <v>0.807559368180922</v>
      </c>
      <c r="K151" s="534">
        <v>0.62965524836685915</v>
      </c>
      <c r="L151" s="533">
        <v>0</v>
      </c>
      <c r="M151" s="533">
        <v>0</v>
      </c>
      <c r="N151" s="533">
        <v>0</v>
      </c>
      <c r="O151" s="534">
        <v>0.62965524836685915</v>
      </c>
      <c r="P151" s="534">
        <v>0.63456766317035584</v>
      </c>
      <c r="Q151" s="533">
        <v>0</v>
      </c>
      <c r="R151" s="534">
        <v>0.63456766317035584</v>
      </c>
      <c r="S151" s="534">
        <v>0</v>
      </c>
      <c r="T151" s="534">
        <v>0</v>
      </c>
      <c r="U151" s="534">
        <v>0.76016280101770828</v>
      </c>
      <c r="V151" s="535"/>
    </row>
    <row r="152" spans="1:22">
      <c r="A152" s="530"/>
      <c r="B152" s="536" t="s">
        <v>748</v>
      </c>
      <c r="C152" s="537">
        <v>-1.074394593483452</v>
      </c>
      <c r="D152" s="538">
        <v>-1.2401448968441864</v>
      </c>
      <c r="E152" s="538">
        <v>-1.8954370939516463</v>
      </c>
      <c r="F152" s="538">
        <v>-1.2073107089549562</v>
      </c>
      <c r="G152" s="538">
        <v>-5.0201734973248318</v>
      </c>
      <c r="H152" s="538">
        <v>-2.9044665127504143</v>
      </c>
      <c r="I152" s="538">
        <v>0</v>
      </c>
      <c r="J152" s="540">
        <v>-1.6691600591657751</v>
      </c>
      <c r="K152" s="540">
        <v>-3.9360137113520488</v>
      </c>
      <c r="L152" s="538">
        <v>0</v>
      </c>
      <c r="M152" s="538">
        <v>0</v>
      </c>
      <c r="N152" s="538">
        <v>-47.249362275593207</v>
      </c>
      <c r="O152" s="540">
        <v>-2.4224979079411457</v>
      </c>
      <c r="P152" s="540">
        <v>-2.6238770019428093</v>
      </c>
      <c r="Q152" s="538">
        <v>0</v>
      </c>
      <c r="R152" s="540">
        <v>-2.6238770019428093</v>
      </c>
      <c r="S152" s="540">
        <v>0</v>
      </c>
      <c r="T152" s="540">
        <v>0</v>
      </c>
      <c r="U152" s="540">
        <v>-1.8888504099665915</v>
      </c>
      <c r="V152" s="535"/>
    </row>
    <row r="153" spans="1:22">
      <c r="A153" s="530"/>
      <c r="B153" s="508" t="s">
        <v>749</v>
      </c>
      <c r="C153" s="527">
        <v>1.6631183587386578E-2</v>
      </c>
      <c r="D153" s="528">
        <v>3.4656335893197943E-2</v>
      </c>
      <c r="E153" s="528">
        <v>9.9245232324066575E-3</v>
      </c>
      <c r="F153" s="528">
        <v>1.9968417414982956E-2</v>
      </c>
      <c r="G153" s="528">
        <v>4.8438350820444887E-3</v>
      </c>
      <c r="H153" s="528">
        <v>1.0710450001403438E-2</v>
      </c>
      <c r="I153" s="528">
        <v>0</v>
      </c>
      <c r="J153" s="529">
        <v>1.5834342352970612E-2</v>
      </c>
      <c r="K153" s="529">
        <v>0.13816410375861946</v>
      </c>
      <c r="L153" s="528">
        <v>0</v>
      </c>
      <c r="M153" s="528">
        <v>0</v>
      </c>
      <c r="N153" s="528">
        <v>0.16828704817827406</v>
      </c>
      <c r="O153" s="529">
        <v>0.140484027607885</v>
      </c>
      <c r="P153" s="529">
        <v>0</v>
      </c>
      <c r="Q153" s="528">
        <v>0</v>
      </c>
      <c r="R153" s="529">
        <v>0</v>
      </c>
      <c r="S153" s="529">
        <v>0</v>
      </c>
      <c r="T153" s="529">
        <v>0</v>
      </c>
      <c r="U153" s="529">
        <v>1.9839595639336769E-2</v>
      </c>
      <c r="V153" s="535"/>
    </row>
    <row r="154" spans="1:22">
      <c r="A154" s="530"/>
      <c r="B154" s="531" t="s">
        <v>750</v>
      </c>
      <c r="C154" s="532">
        <v>1.6366502023264097E-2</v>
      </c>
      <c r="D154" s="533">
        <v>3.4782996465958373E-2</v>
      </c>
      <c r="E154" s="533">
        <v>1.1470164610551795E-2</v>
      </c>
      <c r="F154" s="533">
        <v>1.680136757308941E-2</v>
      </c>
      <c r="G154" s="533">
        <v>2.3241361109455744E-3</v>
      </c>
      <c r="H154" s="533">
        <v>1.24307658569452E-2</v>
      </c>
      <c r="I154" s="533">
        <v>0</v>
      </c>
      <c r="J154" s="534">
        <v>1.5529344691402177E-2</v>
      </c>
      <c r="K154" s="534">
        <v>0.13530385790273997</v>
      </c>
      <c r="L154" s="533">
        <v>0</v>
      </c>
      <c r="M154" s="533">
        <v>0</v>
      </c>
      <c r="N154" s="533">
        <v>0</v>
      </c>
      <c r="O154" s="534">
        <v>0.13530385790273997</v>
      </c>
      <c r="P154" s="534">
        <v>0</v>
      </c>
      <c r="Q154" s="533">
        <v>0</v>
      </c>
      <c r="R154" s="534">
        <v>0</v>
      </c>
      <c r="S154" s="534">
        <v>0</v>
      </c>
      <c r="T154" s="534">
        <v>0</v>
      </c>
      <c r="U154" s="534">
        <v>1.8924073848430738E-2</v>
      </c>
      <c r="V154" s="535"/>
    </row>
    <row r="155" spans="1:22">
      <c r="A155" s="530"/>
      <c r="B155" s="536" t="s">
        <v>751</v>
      </c>
      <c r="C155" s="537">
        <v>-2.6468156412248062E-2</v>
      </c>
      <c r="D155" s="538">
        <v>1.2666057276043002E-2</v>
      </c>
      <c r="E155" s="538">
        <v>0.15456413781451372</v>
      </c>
      <c r="F155" s="538">
        <v>-0.31670498418935461</v>
      </c>
      <c r="G155" s="538">
        <v>-0.25196989710989143</v>
      </c>
      <c r="H155" s="538">
        <v>0.17203158555417625</v>
      </c>
      <c r="I155" s="538">
        <v>0</v>
      </c>
      <c r="J155" s="540">
        <v>-3.0499766156843501E-2</v>
      </c>
      <c r="K155" s="540">
        <v>-0.28602458558794897</v>
      </c>
      <c r="L155" s="538">
        <v>0</v>
      </c>
      <c r="M155" s="538">
        <v>0</v>
      </c>
      <c r="N155" s="538">
        <v>-16.828704817827404</v>
      </c>
      <c r="O155" s="540">
        <v>-0.51801697051450379</v>
      </c>
      <c r="P155" s="540">
        <v>0</v>
      </c>
      <c r="Q155" s="538">
        <v>0</v>
      </c>
      <c r="R155" s="540">
        <v>0</v>
      </c>
      <c r="S155" s="540">
        <v>0</v>
      </c>
      <c r="T155" s="540">
        <v>0</v>
      </c>
      <c r="U155" s="540">
        <v>-9.1552179090603064E-2</v>
      </c>
      <c r="V155" s="535"/>
    </row>
    <row r="156" spans="1:22">
      <c r="A156" s="530"/>
      <c r="B156" s="508" t="s">
        <v>752</v>
      </c>
      <c r="C156" s="527">
        <v>0.12479033123725838</v>
      </c>
      <c r="D156" s="528">
        <v>1.4909461150021459E-2</v>
      </c>
      <c r="E156" s="528">
        <v>0.22700844049703117</v>
      </c>
      <c r="F156" s="528">
        <v>0.17515278124220504</v>
      </c>
      <c r="G156" s="528">
        <v>9.1902830717716572E-2</v>
      </c>
      <c r="H156" s="528">
        <v>0.13466507314868026</v>
      </c>
      <c r="I156" s="528">
        <v>0</v>
      </c>
      <c r="J156" s="529">
        <v>0.15930040631205281</v>
      </c>
      <c r="K156" s="529">
        <v>0.18026232826374192</v>
      </c>
      <c r="L156" s="528">
        <v>0</v>
      </c>
      <c r="M156" s="528">
        <v>0</v>
      </c>
      <c r="N156" s="528">
        <v>0.3592193290657939</v>
      </c>
      <c r="O156" s="529">
        <v>0.19404473307682613</v>
      </c>
      <c r="P156" s="529">
        <v>0.33335520006753894</v>
      </c>
      <c r="Q156" s="528">
        <v>0</v>
      </c>
      <c r="R156" s="529">
        <v>0.33335520006753894</v>
      </c>
      <c r="S156" s="529">
        <v>0</v>
      </c>
      <c r="T156" s="529">
        <v>0</v>
      </c>
      <c r="U156" s="529">
        <v>0.19872158637592335</v>
      </c>
      <c r="V156" s="535"/>
    </row>
    <row r="157" spans="1:22">
      <c r="A157" s="530"/>
      <c r="B157" s="531" t="s">
        <v>753</v>
      </c>
      <c r="C157" s="532">
        <v>0.13579895873621539</v>
      </c>
      <c r="D157" s="533">
        <v>2.7184249545702852E-2</v>
      </c>
      <c r="E157" s="533">
        <v>0.24437499302168544</v>
      </c>
      <c r="F157" s="533">
        <v>0.19022781823780457</v>
      </c>
      <c r="G157" s="533">
        <v>0.1446242646620638</v>
      </c>
      <c r="H157" s="533">
        <v>0.16371791856809581</v>
      </c>
      <c r="I157" s="533">
        <v>0</v>
      </c>
      <c r="J157" s="534">
        <v>0.17644202046532367</v>
      </c>
      <c r="K157" s="534">
        <v>0.23504089373040085</v>
      </c>
      <c r="L157" s="533">
        <v>0</v>
      </c>
      <c r="M157" s="533">
        <v>0</v>
      </c>
      <c r="N157" s="533">
        <v>0</v>
      </c>
      <c r="O157" s="534">
        <v>0.23504089373040085</v>
      </c>
      <c r="P157" s="534">
        <v>0.35971390503270384</v>
      </c>
      <c r="Q157" s="533">
        <v>0</v>
      </c>
      <c r="R157" s="534">
        <v>0.35971390503270384</v>
      </c>
      <c r="S157" s="534">
        <v>0</v>
      </c>
      <c r="T157" s="534">
        <v>0</v>
      </c>
      <c r="U157" s="534">
        <v>0.21933632766613539</v>
      </c>
      <c r="V157" s="535"/>
    </row>
    <row r="158" spans="1:22">
      <c r="A158" s="530"/>
      <c r="B158" s="536" t="s">
        <v>754</v>
      </c>
      <c r="C158" s="537">
        <v>1.1008627498957009</v>
      </c>
      <c r="D158" s="538">
        <v>1.2274788395681393</v>
      </c>
      <c r="E158" s="538">
        <v>1.7366552524654271</v>
      </c>
      <c r="F158" s="538">
        <v>1.5075036995599533</v>
      </c>
      <c r="G158" s="538">
        <v>5.272143394434722</v>
      </c>
      <c r="H158" s="538">
        <v>2.9052845419415552</v>
      </c>
      <c r="I158" s="538">
        <v>0</v>
      </c>
      <c r="J158" s="540">
        <v>1.7141614153270868</v>
      </c>
      <c r="K158" s="540">
        <v>5.4778565466658939</v>
      </c>
      <c r="L158" s="538">
        <v>0</v>
      </c>
      <c r="M158" s="538">
        <v>0</v>
      </c>
      <c r="N158" s="538">
        <v>-35.921932906579393</v>
      </c>
      <c r="O158" s="540">
        <v>4.0996160653574725</v>
      </c>
      <c r="P158" s="540">
        <v>2.6358704965164903</v>
      </c>
      <c r="Q158" s="538">
        <v>0</v>
      </c>
      <c r="R158" s="540">
        <v>2.6358704965164903</v>
      </c>
      <c r="S158" s="540">
        <v>0</v>
      </c>
      <c r="T158" s="540">
        <v>0</v>
      </c>
      <c r="U158" s="540">
        <v>2.061474129021204</v>
      </c>
      <c r="V158" s="535"/>
    </row>
    <row r="159" spans="1:22">
      <c r="A159" s="530"/>
      <c r="B159" s="508" t="s">
        <v>755</v>
      </c>
      <c r="C159" s="527">
        <v>0</v>
      </c>
      <c r="D159" s="528">
        <v>0</v>
      </c>
      <c r="E159" s="528">
        <v>1.1918209717627294E-4</v>
      </c>
      <c r="F159" s="528">
        <v>1.6109586763116322E-4</v>
      </c>
      <c r="G159" s="528">
        <v>0</v>
      </c>
      <c r="H159" s="528">
        <v>3.6430303039256384E-3</v>
      </c>
      <c r="I159" s="528">
        <v>0</v>
      </c>
      <c r="J159" s="529">
        <v>4.4611683499666777E-4</v>
      </c>
      <c r="K159" s="529">
        <v>0</v>
      </c>
      <c r="L159" s="528">
        <v>0</v>
      </c>
      <c r="M159" s="528">
        <v>0</v>
      </c>
      <c r="N159" s="528">
        <v>0</v>
      </c>
      <c r="O159" s="529">
        <v>0</v>
      </c>
      <c r="P159" s="529">
        <v>5.8383667426770754E-3</v>
      </c>
      <c r="Q159" s="528">
        <v>0</v>
      </c>
      <c r="R159" s="529">
        <v>5.8383667426770754E-3</v>
      </c>
      <c r="S159" s="529">
        <v>0</v>
      </c>
      <c r="T159" s="529">
        <v>0</v>
      </c>
      <c r="U159" s="529">
        <v>1.5769606153178128E-3</v>
      </c>
      <c r="V159" s="535"/>
    </row>
    <row r="160" spans="1:22">
      <c r="A160" s="530"/>
      <c r="B160" s="531" t="s">
        <v>756</v>
      </c>
      <c r="C160" s="532">
        <v>0</v>
      </c>
      <c r="D160" s="533">
        <v>0</v>
      </c>
      <c r="E160" s="533">
        <v>1.354399833394257E-4</v>
      </c>
      <c r="F160" s="533">
        <v>8.563388161615398E-5</v>
      </c>
      <c r="G160" s="533">
        <v>0</v>
      </c>
      <c r="H160" s="533">
        <v>1.9145341564724095E-3</v>
      </c>
      <c r="I160" s="533">
        <v>0</v>
      </c>
      <c r="J160" s="534">
        <v>2.5827623061852741E-4</v>
      </c>
      <c r="K160" s="534">
        <v>0</v>
      </c>
      <c r="L160" s="533">
        <v>0</v>
      </c>
      <c r="M160" s="533">
        <v>0</v>
      </c>
      <c r="N160" s="533">
        <v>0</v>
      </c>
      <c r="O160" s="534">
        <v>0</v>
      </c>
      <c r="P160" s="534">
        <v>5.7184317969403318E-3</v>
      </c>
      <c r="Q160" s="533">
        <v>0</v>
      </c>
      <c r="R160" s="534">
        <v>5.7184317969403318E-3</v>
      </c>
      <c r="S160" s="534">
        <v>0</v>
      </c>
      <c r="T160" s="534">
        <v>0</v>
      </c>
      <c r="U160" s="534">
        <v>1.423276929851425E-3</v>
      </c>
      <c r="V160" s="535"/>
    </row>
    <row r="161" spans="1:22">
      <c r="A161" s="530"/>
      <c r="B161" s="536" t="s">
        <v>757</v>
      </c>
      <c r="C161" s="537">
        <v>0</v>
      </c>
      <c r="D161" s="538">
        <v>0</v>
      </c>
      <c r="E161" s="538">
        <v>1.6257886163152763E-3</v>
      </c>
      <c r="F161" s="538">
        <v>-7.5461986015009242E-3</v>
      </c>
      <c r="G161" s="538">
        <v>0</v>
      </c>
      <c r="H161" s="538">
        <v>-0.17284961474532287</v>
      </c>
      <c r="I161" s="538">
        <v>0</v>
      </c>
      <c r="J161" s="540">
        <v>-1.8784060437814037E-2</v>
      </c>
      <c r="K161" s="540">
        <v>0</v>
      </c>
      <c r="L161" s="538">
        <v>0</v>
      </c>
      <c r="M161" s="538">
        <v>0</v>
      </c>
      <c r="N161" s="538">
        <v>0</v>
      </c>
      <c r="O161" s="540">
        <v>0</v>
      </c>
      <c r="P161" s="540">
        <v>-1.1993494573674362E-2</v>
      </c>
      <c r="Q161" s="538">
        <v>0</v>
      </c>
      <c r="R161" s="540">
        <v>-1.1993494573674362E-2</v>
      </c>
      <c r="S161" s="540">
        <v>0</v>
      </c>
      <c r="T161" s="540">
        <v>0</v>
      </c>
      <c r="U161" s="540">
        <v>-1.536836854663878E-2</v>
      </c>
      <c r="V161" s="535"/>
    </row>
    <row r="162" spans="1:22">
      <c r="A162" s="530"/>
      <c r="B162" s="508" t="s">
        <v>758</v>
      </c>
      <c r="C162" s="527">
        <v>0</v>
      </c>
      <c r="D162" s="528">
        <v>0</v>
      </c>
      <c r="E162" s="528">
        <v>3.136370978322972E-5</v>
      </c>
      <c r="F162" s="528">
        <v>6.8140953687536373E-4</v>
      </c>
      <c r="G162" s="528">
        <v>0</v>
      </c>
      <c r="H162" s="528">
        <v>0</v>
      </c>
      <c r="I162" s="528">
        <v>0</v>
      </c>
      <c r="J162" s="529">
        <v>1.681657274001715E-4</v>
      </c>
      <c r="K162" s="529">
        <v>1.2558182497259048E-2</v>
      </c>
      <c r="L162" s="528">
        <v>0</v>
      </c>
      <c r="M162" s="528">
        <v>0</v>
      </c>
      <c r="N162" s="528">
        <v>0</v>
      </c>
      <c r="O162" s="529">
        <v>1.1591011869018231E-2</v>
      </c>
      <c r="P162" s="529">
        <v>0</v>
      </c>
      <c r="Q162" s="528">
        <v>0</v>
      </c>
      <c r="R162" s="529">
        <v>0</v>
      </c>
      <c r="S162" s="529">
        <v>0</v>
      </c>
      <c r="T162" s="529">
        <v>0</v>
      </c>
      <c r="U162" s="529">
        <v>8.1055225204782237E-4</v>
      </c>
      <c r="V162" s="535"/>
    </row>
    <row r="163" spans="1:22">
      <c r="A163" s="530"/>
      <c r="B163" s="531" t="s">
        <v>759</v>
      </c>
      <c r="C163" s="532">
        <v>0</v>
      </c>
      <c r="D163" s="533">
        <v>0</v>
      </c>
      <c r="E163" s="533">
        <v>5.7282860337104778E-5</v>
      </c>
      <c r="F163" s="533">
        <v>9.2199145873392448E-4</v>
      </c>
      <c r="G163" s="533">
        <v>0</v>
      </c>
      <c r="H163" s="533">
        <v>0</v>
      </c>
      <c r="I163" s="533">
        <v>0</v>
      </c>
      <c r="J163" s="534">
        <v>2.1099043173355948E-4</v>
      </c>
      <c r="K163" s="534">
        <v>0</v>
      </c>
      <c r="L163" s="533">
        <v>0</v>
      </c>
      <c r="M163" s="533">
        <v>0</v>
      </c>
      <c r="N163" s="533">
        <v>0</v>
      </c>
      <c r="O163" s="534">
        <v>0</v>
      </c>
      <c r="P163" s="534">
        <v>0</v>
      </c>
      <c r="Q163" s="533">
        <v>0</v>
      </c>
      <c r="R163" s="534">
        <v>0</v>
      </c>
      <c r="S163" s="534">
        <v>0</v>
      </c>
      <c r="T163" s="534">
        <v>0</v>
      </c>
      <c r="U163" s="534">
        <v>1.5352053787412098E-4</v>
      </c>
      <c r="V163" s="535"/>
    </row>
    <row r="164" spans="1:22">
      <c r="A164" s="530"/>
      <c r="B164" s="536" t="s">
        <v>760</v>
      </c>
      <c r="C164" s="537">
        <v>0</v>
      </c>
      <c r="D164" s="538">
        <v>0</v>
      </c>
      <c r="E164" s="538">
        <v>2.591915055387506E-3</v>
      </c>
      <c r="F164" s="538">
        <v>2.4058192185856076E-2</v>
      </c>
      <c r="G164" s="538">
        <v>0</v>
      </c>
      <c r="H164" s="538">
        <v>0</v>
      </c>
      <c r="I164" s="538">
        <v>0</v>
      </c>
      <c r="J164" s="540">
        <v>4.282470433338798E-3</v>
      </c>
      <c r="K164" s="540">
        <v>-1.2558182497259047</v>
      </c>
      <c r="L164" s="538">
        <v>0</v>
      </c>
      <c r="M164" s="538">
        <v>0</v>
      </c>
      <c r="N164" s="538">
        <v>0</v>
      </c>
      <c r="O164" s="540">
        <v>-1.1591011869018231</v>
      </c>
      <c r="P164" s="540">
        <v>0</v>
      </c>
      <c r="Q164" s="538">
        <v>0</v>
      </c>
      <c r="R164" s="540">
        <v>0</v>
      </c>
      <c r="S164" s="540">
        <v>0</v>
      </c>
      <c r="T164" s="540">
        <v>0</v>
      </c>
      <c r="U164" s="540">
        <v>-6.5703171417370143E-2</v>
      </c>
      <c r="V164" s="535"/>
    </row>
    <row r="165" spans="1:22">
      <c r="A165" s="530"/>
      <c r="B165" s="508" t="s">
        <v>761</v>
      </c>
      <c r="C165" s="527">
        <v>0</v>
      </c>
      <c r="D165" s="528">
        <v>0</v>
      </c>
      <c r="E165" s="528">
        <v>0</v>
      </c>
      <c r="F165" s="528">
        <v>0</v>
      </c>
      <c r="G165" s="528">
        <v>0</v>
      </c>
      <c r="H165" s="528">
        <v>0</v>
      </c>
      <c r="I165" s="528">
        <v>0</v>
      </c>
      <c r="J165" s="529">
        <v>0</v>
      </c>
      <c r="K165" s="529">
        <v>0</v>
      </c>
      <c r="L165" s="528">
        <v>0</v>
      </c>
      <c r="M165" s="528">
        <v>0</v>
      </c>
      <c r="N165" s="528">
        <v>0</v>
      </c>
      <c r="O165" s="529">
        <v>0</v>
      </c>
      <c r="P165" s="529">
        <v>0</v>
      </c>
      <c r="Q165" s="528">
        <v>0</v>
      </c>
      <c r="R165" s="529">
        <v>0</v>
      </c>
      <c r="S165" s="529">
        <v>0</v>
      </c>
      <c r="T165" s="529">
        <v>0</v>
      </c>
      <c r="U165" s="529">
        <v>0</v>
      </c>
      <c r="V165" s="535"/>
    </row>
    <row r="166" spans="1:22">
      <c r="A166" s="530"/>
      <c r="B166" s="531" t="s">
        <v>762</v>
      </c>
      <c r="C166" s="532">
        <v>0</v>
      </c>
      <c r="D166" s="533">
        <v>0</v>
      </c>
      <c r="E166" s="533">
        <v>0</v>
      </c>
      <c r="F166" s="533">
        <v>0</v>
      </c>
      <c r="G166" s="533">
        <v>0</v>
      </c>
      <c r="H166" s="533">
        <v>0</v>
      </c>
      <c r="I166" s="533">
        <v>0</v>
      </c>
      <c r="J166" s="534">
        <v>0</v>
      </c>
      <c r="K166" s="534">
        <v>0</v>
      </c>
      <c r="L166" s="533">
        <v>0</v>
      </c>
      <c r="M166" s="533">
        <v>0</v>
      </c>
      <c r="N166" s="533">
        <v>0</v>
      </c>
      <c r="O166" s="534">
        <v>0</v>
      </c>
      <c r="P166" s="534">
        <v>0</v>
      </c>
      <c r="Q166" s="533">
        <v>0</v>
      </c>
      <c r="R166" s="534">
        <v>0</v>
      </c>
      <c r="S166" s="534">
        <v>0</v>
      </c>
      <c r="T166" s="534">
        <v>0</v>
      </c>
      <c r="U166" s="534">
        <v>0</v>
      </c>
      <c r="V166" s="535"/>
    </row>
    <row r="167" spans="1:22" ht="15.75" thickBot="1">
      <c r="A167" s="530"/>
      <c r="B167" s="542" t="s">
        <v>763</v>
      </c>
      <c r="C167" s="543">
        <v>0</v>
      </c>
      <c r="D167" s="544">
        <v>0</v>
      </c>
      <c r="E167" s="544">
        <v>0</v>
      </c>
      <c r="F167" s="544">
        <v>0</v>
      </c>
      <c r="G167" s="544">
        <v>0</v>
      </c>
      <c r="H167" s="544">
        <v>0</v>
      </c>
      <c r="I167" s="544">
        <v>0</v>
      </c>
      <c r="J167" s="545">
        <v>0</v>
      </c>
      <c r="K167" s="545">
        <v>0</v>
      </c>
      <c r="L167" s="544">
        <v>0</v>
      </c>
      <c r="M167" s="544">
        <v>0</v>
      </c>
      <c r="N167" s="544">
        <v>0</v>
      </c>
      <c r="O167" s="545">
        <v>0</v>
      </c>
      <c r="P167" s="545">
        <v>0</v>
      </c>
      <c r="Q167" s="544">
        <v>0</v>
      </c>
      <c r="R167" s="545">
        <v>0</v>
      </c>
      <c r="S167" s="545">
        <v>0</v>
      </c>
      <c r="T167" s="545">
        <v>0</v>
      </c>
      <c r="U167" s="545">
        <v>0</v>
      </c>
      <c r="V167" s="535"/>
    </row>
    <row r="168" spans="1:22" ht="15.75" thickTop="1">
      <c r="A168" s="530"/>
      <c r="B168" s="531" t="s">
        <v>764</v>
      </c>
      <c r="C168" s="532">
        <v>0.68347502626153611</v>
      </c>
      <c r="D168" s="533">
        <v>0.79829703184344092</v>
      </c>
      <c r="E168" s="533">
        <v>0.32629782794167994</v>
      </c>
      <c r="F168" s="533">
        <v>0.7259660344580855</v>
      </c>
      <c r="G168" s="533">
        <v>0.47890818858560796</v>
      </c>
      <c r="H168" s="533">
        <v>5.7723142704436133E-2</v>
      </c>
      <c r="I168" s="533">
        <v>0</v>
      </c>
      <c r="J168" s="534">
        <v>0.6680560156437253</v>
      </c>
      <c r="K168" s="534">
        <v>0</v>
      </c>
      <c r="L168" s="533">
        <v>0</v>
      </c>
      <c r="M168" s="533">
        <v>0</v>
      </c>
      <c r="N168" s="533">
        <v>0</v>
      </c>
      <c r="O168" s="534">
        <v>0</v>
      </c>
      <c r="P168" s="534">
        <v>0</v>
      </c>
      <c r="Q168" s="533">
        <v>0</v>
      </c>
      <c r="R168" s="534">
        <v>0</v>
      </c>
      <c r="S168" s="534">
        <v>0</v>
      </c>
      <c r="T168" s="534">
        <v>0</v>
      </c>
      <c r="U168" s="534">
        <v>0.6680560156437253</v>
      </c>
      <c r="V168" s="535"/>
    </row>
    <row r="169" spans="1:22">
      <c r="A169" s="530"/>
      <c r="B169" s="531" t="s">
        <v>765</v>
      </c>
      <c r="C169" s="532">
        <v>0.68759813351239485</v>
      </c>
      <c r="D169" s="533">
        <v>0.73062922985630696</v>
      </c>
      <c r="E169" s="533">
        <v>0.32615383105764373</v>
      </c>
      <c r="F169" s="533">
        <v>0.73141198631851745</v>
      </c>
      <c r="G169" s="533">
        <v>0.42233529726834496</v>
      </c>
      <c r="H169" s="533">
        <v>9.4806265457543282E-2</v>
      </c>
      <c r="I169" s="533">
        <v>0</v>
      </c>
      <c r="J169" s="534">
        <v>0.65018995243509614</v>
      </c>
      <c r="K169" s="534">
        <v>0</v>
      </c>
      <c r="L169" s="533">
        <v>0</v>
      </c>
      <c r="M169" s="533">
        <v>0</v>
      </c>
      <c r="N169" s="533">
        <v>0</v>
      </c>
      <c r="O169" s="534">
        <v>0</v>
      </c>
      <c r="P169" s="534">
        <v>0</v>
      </c>
      <c r="Q169" s="533">
        <v>0</v>
      </c>
      <c r="R169" s="534">
        <v>0</v>
      </c>
      <c r="S169" s="534">
        <v>0</v>
      </c>
      <c r="T169" s="534">
        <v>0</v>
      </c>
      <c r="U169" s="534">
        <v>0.65018995243509614</v>
      </c>
      <c r="V169" s="535"/>
    </row>
    <row r="170" spans="1:22">
      <c r="A170" s="530"/>
      <c r="B170" s="536" t="s">
        <v>766</v>
      </c>
      <c r="C170" s="537">
        <v>0.41231072508587374</v>
      </c>
      <c r="D170" s="538">
        <v>-6.7667801987133958</v>
      </c>
      <c r="E170" s="538">
        <v>-1.4399688403621269E-2</v>
      </c>
      <c r="F170" s="538">
        <v>0.54459518604319523</v>
      </c>
      <c r="G170" s="538">
        <v>-5.6572891317263005</v>
      </c>
      <c r="H170" s="538">
        <v>3.7083122753107149</v>
      </c>
      <c r="I170" s="538">
        <v>0</v>
      </c>
      <c r="J170" s="540">
        <v>-1.7866063208629157</v>
      </c>
      <c r="K170" s="540">
        <v>0</v>
      </c>
      <c r="L170" s="538">
        <v>0</v>
      </c>
      <c r="M170" s="538">
        <v>0</v>
      </c>
      <c r="N170" s="538">
        <v>0</v>
      </c>
      <c r="O170" s="540">
        <v>0</v>
      </c>
      <c r="P170" s="540">
        <v>0</v>
      </c>
      <c r="Q170" s="538">
        <v>0</v>
      </c>
      <c r="R170" s="540">
        <v>0</v>
      </c>
      <c r="S170" s="540">
        <v>0</v>
      </c>
      <c r="T170" s="540">
        <v>0</v>
      </c>
      <c r="U170" s="540">
        <v>-1.7866063208629157</v>
      </c>
      <c r="V170" s="535"/>
    </row>
    <row r="171" spans="1:22">
      <c r="A171" s="530"/>
      <c r="B171" s="508" t="s">
        <v>767</v>
      </c>
      <c r="C171" s="527">
        <v>0.26460092415151171</v>
      </c>
      <c r="D171" s="528">
        <v>1.5241221066492406E-2</v>
      </c>
      <c r="E171" s="528">
        <v>1.3542079893923998E-2</v>
      </c>
      <c r="F171" s="528">
        <v>6.6453452963748119E-2</v>
      </c>
      <c r="G171" s="528">
        <v>0.29776674937965258</v>
      </c>
      <c r="H171" s="528">
        <v>0</v>
      </c>
      <c r="I171" s="528">
        <v>0</v>
      </c>
      <c r="J171" s="529">
        <v>0.12341185968204206</v>
      </c>
      <c r="K171" s="529">
        <v>0</v>
      </c>
      <c r="L171" s="528">
        <v>0</v>
      </c>
      <c r="M171" s="528">
        <v>0</v>
      </c>
      <c r="N171" s="528">
        <v>0</v>
      </c>
      <c r="O171" s="529">
        <v>0</v>
      </c>
      <c r="P171" s="529">
        <v>0</v>
      </c>
      <c r="Q171" s="528">
        <v>0</v>
      </c>
      <c r="R171" s="529">
        <v>0</v>
      </c>
      <c r="S171" s="529">
        <v>0</v>
      </c>
      <c r="T171" s="529">
        <v>0</v>
      </c>
      <c r="U171" s="529">
        <v>0.12341185968204206</v>
      </c>
      <c r="V171" s="535"/>
    </row>
    <row r="172" spans="1:22">
      <c r="A172" s="530"/>
      <c r="B172" s="531" t="s">
        <v>768</v>
      </c>
      <c r="C172" s="532">
        <v>0.25194850949543734</v>
      </c>
      <c r="D172" s="533">
        <v>7.703690350106286E-3</v>
      </c>
      <c r="E172" s="533">
        <v>1.0381658415963026E-2</v>
      </c>
      <c r="F172" s="533">
        <v>5.7802709707049829E-2</v>
      </c>
      <c r="G172" s="533">
        <v>0.35350830208891271</v>
      </c>
      <c r="H172" s="533">
        <v>2.3083264633140973E-2</v>
      </c>
      <c r="I172" s="533">
        <v>0</v>
      </c>
      <c r="J172" s="534">
        <v>0.11134863562681975</v>
      </c>
      <c r="K172" s="534">
        <v>0</v>
      </c>
      <c r="L172" s="533">
        <v>0</v>
      </c>
      <c r="M172" s="533">
        <v>0</v>
      </c>
      <c r="N172" s="533">
        <v>0</v>
      </c>
      <c r="O172" s="534">
        <v>0</v>
      </c>
      <c r="P172" s="534">
        <v>0</v>
      </c>
      <c r="Q172" s="533">
        <v>0</v>
      </c>
      <c r="R172" s="534">
        <v>0</v>
      </c>
      <c r="S172" s="534">
        <v>0</v>
      </c>
      <c r="T172" s="534">
        <v>0</v>
      </c>
      <c r="U172" s="534">
        <v>0.11134863562681975</v>
      </c>
      <c r="V172" s="535"/>
    </row>
    <row r="173" spans="1:22">
      <c r="A173" s="530"/>
      <c r="B173" s="536" t="s">
        <v>769</v>
      </c>
      <c r="C173" s="537">
        <v>-1.2652414656074362</v>
      </c>
      <c r="D173" s="538">
        <v>-0.75375307163861205</v>
      </c>
      <c r="E173" s="538">
        <v>-0.31604214779609713</v>
      </c>
      <c r="F173" s="538">
        <v>-0.865074325669829</v>
      </c>
      <c r="G173" s="538">
        <v>5.5741552709260125</v>
      </c>
      <c r="H173" s="538">
        <v>0</v>
      </c>
      <c r="I173" s="538">
        <v>0</v>
      </c>
      <c r="J173" s="540">
        <v>-1.206322405522231</v>
      </c>
      <c r="K173" s="540">
        <v>0</v>
      </c>
      <c r="L173" s="538">
        <v>0</v>
      </c>
      <c r="M173" s="538">
        <v>0</v>
      </c>
      <c r="N173" s="538">
        <v>0</v>
      </c>
      <c r="O173" s="540">
        <v>0</v>
      </c>
      <c r="P173" s="540">
        <v>0</v>
      </c>
      <c r="Q173" s="538">
        <v>0</v>
      </c>
      <c r="R173" s="540">
        <v>0</v>
      </c>
      <c r="S173" s="540">
        <v>0</v>
      </c>
      <c r="T173" s="540">
        <v>0</v>
      </c>
      <c r="U173" s="540">
        <v>-1.206322405522231</v>
      </c>
      <c r="V173" s="535"/>
    </row>
    <row r="174" spans="1:22">
      <c r="A174" s="530"/>
      <c r="B174" s="508" t="s">
        <v>770</v>
      </c>
      <c r="C174" s="527">
        <v>5.1924049586952174E-2</v>
      </c>
      <c r="D174" s="528">
        <v>0.18646174709006669</v>
      </c>
      <c r="E174" s="528">
        <v>0.65972535444709512</v>
      </c>
      <c r="F174" s="528">
        <v>0.20745072067784651</v>
      </c>
      <c r="G174" s="528">
        <v>0.22332506203473945</v>
      </c>
      <c r="H174" s="528">
        <v>0.94227685729556387</v>
      </c>
      <c r="I174" s="528">
        <v>0</v>
      </c>
      <c r="J174" s="529">
        <v>0.20843992410265891</v>
      </c>
      <c r="K174" s="529">
        <v>0</v>
      </c>
      <c r="L174" s="528">
        <v>0</v>
      </c>
      <c r="M174" s="528">
        <v>0</v>
      </c>
      <c r="N174" s="528">
        <v>0</v>
      </c>
      <c r="O174" s="529">
        <v>0</v>
      </c>
      <c r="P174" s="529">
        <v>0</v>
      </c>
      <c r="Q174" s="528">
        <v>0</v>
      </c>
      <c r="R174" s="529">
        <v>0</v>
      </c>
      <c r="S174" s="529">
        <v>0</v>
      </c>
      <c r="T174" s="529">
        <v>0</v>
      </c>
      <c r="U174" s="529">
        <v>0.20843992410265891</v>
      </c>
      <c r="V174" s="535"/>
    </row>
    <row r="175" spans="1:22">
      <c r="A175" s="530"/>
      <c r="B175" s="531" t="s">
        <v>771</v>
      </c>
      <c r="C175" s="532">
        <v>6.0453356992167792E-2</v>
      </c>
      <c r="D175" s="533">
        <v>0.26166707979358678</v>
      </c>
      <c r="E175" s="533">
        <v>0.66339091653951265</v>
      </c>
      <c r="F175" s="533">
        <v>0.21057811342646549</v>
      </c>
      <c r="G175" s="533">
        <v>0.22415640064274236</v>
      </c>
      <c r="H175" s="533">
        <v>0.88211046990931574</v>
      </c>
      <c r="I175" s="533">
        <v>0</v>
      </c>
      <c r="J175" s="534">
        <v>0.23840508300293911</v>
      </c>
      <c r="K175" s="534">
        <v>0</v>
      </c>
      <c r="L175" s="533">
        <v>0</v>
      </c>
      <c r="M175" s="533">
        <v>0</v>
      </c>
      <c r="N175" s="533">
        <v>0</v>
      </c>
      <c r="O175" s="534">
        <v>0</v>
      </c>
      <c r="P175" s="534">
        <v>0</v>
      </c>
      <c r="Q175" s="533">
        <v>0</v>
      </c>
      <c r="R175" s="534">
        <v>0</v>
      </c>
      <c r="S175" s="534">
        <v>0</v>
      </c>
      <c r="T175" s="534">
        <v>0</v>
      </c>
      <c r="U175" s="534">
        <v>0.23840508300293911</v>
      </c>
      <c r="V175" s="535"/>
    </row>
    <row r="176" spans="1:22">
      <c r="A176" s="530"/>
      <c r="B176" s="536" t="s">
        <v>772</v>
      </c>
      <c r="C176" s="537">
        <v>0.85293074052156181</v>
      </c>
      <c r="D176" s="538">
        <v>7.5205332703520087</v>
      </c>
      <c r="E176" s="538">
        <v>0.36655620924175292</v>
      </c>
      <c r="F176" s="538">
        <v>0.3127392748618979</v>
      </c>
      <c r="G176" s="538">
        <v>8.3133860800291282E-2</v>
      </c>
      <c r="H176" s="538">
        <v>-6.0166387386248132</v>
      </c>
      <c r="I176" s="538">
        <v>0</v>
      </c>
      <c r="J176" s="540">
        <v>2.9965158900280202</v>
      </c>
      <c r="K176" s="540">
        <v>0</v>
      </c>
      <c r="L176" s="538">
        <v>0</v>
      </c>
      <c r="M176" s="538">
        <v>0</v>
      </c>
      <c r="N176" s="538">
        <v>0</v>
      </c>
      <c r="O176" s="540">
        <v>0</v>
      </c>
      <c r="P176" s="540">
        <v>0</v>
      </c>
      <c r="Q176" s="538">
        <v>0</v>
      </c>
      <c r="R176" s="540">
        <v>0</v>
      </c>
      <c r="S176" s="540">
        <v>0</v>
      </c>
      <c r="T176" s="540">
        <v>0</v>
      </c>
      <c r="U176" s="540">
        <v>2.9965158900280202</v>
      </c>
      <c r="V176" s="535"/>
    </row>
    <row r="177" spans="1:22">
      <c r="A177" s="530"/>
      <c r="B177" s="508" t="s">
        <v>773</v>
      </c>
      <c r="C177" s="527">
        <v>0</v>
      </c>
      <c r="D177" s="528">
        <v>0</v>
      </c>
      <c r="E177" s="528">
        <v>1.1411865079149435E-4</v>
      </c>
      <c r="F177" s="528">
        <v>0</v>
      </c>
      <c r="G177" s="528">
        <v>0</v>
      </c>
      <c r="H177" s="528">
        <v>0</v>
      </c>
      <c r="I177" s="528">
        <v>0</v>
      </c>
      <c r="J177" s="529">
        <v>1.6270689101260983E-5</v>
      </c>
      <c r="K177" s="529">
        <v>0</v>
      </c>
      <c r="L177" s="528">
        <v>0</v>
      </c>
      <c r="M177" s="528">
        <v>0</v>
      </c>
      <c r="N177" s="528">
        <v>0</v>
      </c>
      <c r="O177" s="529">
        <v>0</v>
      </c>
      <c r="P177" s="529">
        <v>0</v>
      </c>
      <c r="Q177" s="528">
        <v>0</v>
      </c>
      <c r="R177" s="529">
        <v>0</v>
      </c>
      <c r="S177" s="529">
        <v>0</v>
      </c>
      <c r="T177" s="529">
        <v>0</v>
      </c>
      <c r="U177" s="529">
        <v>1.6270689101260983E-5</v>
      </c>
      <c r="V177" s="535"/>
    </row>
    <row r="178" spans="1:22">
      <c r="A178" s="530"/>
      <c r="B178" s="531" t="s">
        <v>774</v>
      </c>
      <c r="C178" s="532">
        <v>0</v>
      </c>
      <c r="D178" s="533">
        <v>0</v>
      </c>
      <c r="E178" s="533">
        <v>7.3593986880645277E-5</v>
      </c>
      <c r="F178" s="533">
        <v>0</v>
      </c>
      <c r="G178" s="533">
        <v>0</v>
      </c>
      <c r="H178" s="533">
        <v>0</v>
      </c>
      <c r="I178" s="533">
        <v>0</v>
      </c>
      <c r="J178" s="534">
        <v>1.1265787029008426E-5</v>
      </c>
      <c r="K178" s="534">
        <v>0</v>
      </c>
      <c r="L178" s="533">
        <v>0</v>
      </c>
      <c r="M178" s="533">
        <v>0</v>
      </c>
      <c r="N178" s="533">
        <v>0</v>
      </c>
      <c r="O178" s="534">
        <v>0</v>
      </c>
      <c r="P178" s="534">
        <v>0</v>
      </c>
      <c r="Q178" s="533">
        <v>0</v>
      </c>
      <c r="R178" s="534">
        <v>0</v>
      </c>
      <c r="S178" s="534">
        <v>0</v>
      </c>
      <c r="T178" s="534">
        <v>0</v>
      </c>
      <c r="U178" s="534">
        <v>1.1265787029008426E-5</v>
      </c>
      <c r="V178" s="535"/>
    </row>
    <row r="179" spans="1:22">
      <c r="A179" s="530"/>
      <c r="B179" s="536" t="s">
        <v>775</v>
      </c>
      <c r="C179" s="537">
        <v>0</v>
      </c>
      <c r="D179" s="538">
        <v>0</v>
      </c>
      <c r="E179" s="538">
        <v>-4.0524663910849077E-3</v>
      </c>
      <c r="F179" s="538">
        <v>0</v>
      </c>
      <c r="G179" s="538">
        <v>0</v>
      </c>
      <c r="H179" s="538">
        <v>0</v>
      </c>
      <c r="I179" s="538">
        <v>0</v>
      </c>
      <c r="J179" s="540">
        <v>-5.0049020722525565E-4</v>
      </c>
      <c r="K179" s="540">
        <v>0</v>
      </c>
      <c r="L179" s="538">
        <v>0</v>
      </c>
      <c r="M179" s="538">
        <v>0</v>
      </c>
      <c r="N179" s="538">
        <v>0</v>
      </c>
      <c r="O179" s="540">
        <v>0</v>
      </c>
      <c r="P179" s="540">
        <v>0</v>
      </c>
      <c r="Q179" s="538">
        <v>0</v>
      </c>
      <c r="R179" s="540">
        <v>0</v>
      </c>
      <c r="S179" s="540">
        <v>0</v>
      </c>
      <c r="T179" s="540">
        <v>0</v>
      </c>
      <c r="U179" s="540">
        <v>-5.0049020722525565E-4</v>
      </c>
      <c r="V179" s="535"/>
    </row>
    <row r="180" spans="1:22">
      <c r="A180" s="530"/>
      <c r="B180" s="508" t="s">
        <v>776</v>
      </c>
      <c r="C180" s="527">
        <v>0</v>
      </c>
      <c r="D180" s="528">
        <v>0</v>
      </c>
      <c r="E180" s="528">
        <v>3.2061906650943654E-4</v>
      </c>
      <c r="F180" s="528">
        <v>1.2979190031982055E-4</v>
      </c>
      <c r="G180" s="528">
        <v>0</v>
      </c>
      <c r="H180" s="528">
        <v>0</v>
      </c>
      <c r="I180" s="528">
        <v>0</v>
      </c>
      <c r="J180" s="529">
        <v>7.5929882472551249E-5</v>
      </c>
      <c r="K180" s="529">
        <v>0</v>
      </c>
      <c r="L180" s="528">
        <v>0</v>
      </c>
      <c r="M180" s="528">
        <v>0</v>
      </c>
      <c r="N180" s="528">
        <v>0</v>
      </c>
      <c r="O180" s="529">
        <v>0</v>
      </c>
      <c r="P180" s="529">
        <v>0</v>
      </c>
      <c r="Q180" s="528">
        <v>0</v>
      </c>
      <c r="R180" s="529">
        <v>0</v>
      </c>
      <c r="S180" s="529">
        <v>0</v>
      </c>
      <c r="T180" s="529">
        <v>0</v>
      </c>
      <c r="U180" s="529">
        <v>7.5929882472551249E-5</v>
      </c>
      <c r="V180" s="535"/>
    </row>
    <row r="181" spans="1:22">
      <c r="A181" s="530"/>
      <c r="B181" s="531" t="s">
        <v>777</v>
      </c>
      <c r="C181" s="532">
        <v>0</v>
      </c>
      <c r="D181" s="533">
        <v>0</v>
      </c>
      <c r="E181" s="533">
        <v>0</v>
      </c>
      <c r="F181" s="533">
        <v>2.0719054796720172E-4</v>
      </c>
      <c r="G181" s="533">
        <v>0</v>
      </c>
      <c r="H181" s="533">
        <v>0</v>
      </c>
      <c r="I181" s="533">
        <v>0</v>
      </c>
      <c r="J181" s="534">
        <v>4.5063148116033705E-5</v>
      </c>
      <c r="K181" s="534">
        <v>0</v>
      </c>
      <c r="L181" s="533">
        <v>0</v>
      </c>
      <c r="M181" s="533">
        <v>0</v>
      </c>
      <c r="N181" s="533">
        <v>0</v>
      </c>
      <c r="O181" s="534">
        <v>0</v>
      </c>
      <c r="P181" s="534">
        <v>0</v>
      </c>
      <c r="Q181" s="533">
        <v>0</v>
      </c>
      <c r="R181" s="534">
        <v>0</v>
      </c>
      <c r="S181" s="534">
        <v>0</v>
      </c>
      <c r="T181" s="534">
        <v>0</v>
      </c>
      <c r="U181" s="534">
        <v>4.5063148116033705E-5</v>
      </c>
      <c r="V181" s="535"/>
    </row>
    <row r="182" spans="1:22">
      <c r="A182" s="530"/>
      <c r="B182" s="536" t="s">
        <v>778</v>
      </c>
      <c r="C182" s="537">
        <v>0</v>
      </c>
      <c r="D182" s="538">
        <v>0</v>
      </c>
      <c r="E182" s="538">
        <v>-3.2061906650943654E-2</v>
      </c>
      <c r="F182" s="538">
        <v>7.7398647647381183E-3</v>
      </c>
      <c r="G182" s="538">
        <v>0</v>
      </c>
      <c r="H182" s="538">
        <v>0</v>
      </c>
      <c r="I182" s="538">
        <v>0</v>
      </c>
      <c r="J182" s="540">
        <v>-3.0866734356517541E-3</v>
      </c>
      <c r="K182" s="540">
        <v>0</v>
      </c>
      <c r="L182" s="538">
        <v>0</v>
      </c>
      <c r="M182" s="538">
        <v>0</v>
      </c>
      <c r="N182" s="538">
        <v>0</v>
      </c>
      <c r="O182" s="540">
        <v>0</v>
      </c>
      <c r="P182" s="540">
        <v>0</v>
      </c>
      <c r="Q182" s="538">
        <v>0</v>
      </c>
      <c r="R182" s="540">
        <v>0</v>
      </c>
      <c r="S182" s="540">
        <v>0</v>
      </c>
      <c r="T182" s="540">
        <v>0</v>
      </c>
      <c r="U182" s="540">
        <v>-3.0866734356517541E-3</v>
      </c>
      <c r="V182" s="535"/>
    </row>
    <row r="183" spans="1:22">
      <c r="A183" s="530"/>
      <c r="B183" s="508" t="s">
        <v>779</v>
      </c>
      <c r="C183" s="527">
        <v>0</v>
      </c>
      <c r="D183" s="528">
        <v>0</v>
      </c>
      <c r="E183" s="528">
        <v>0</v>
      </c>
      <c r="F183" s="528">
        <v>0</v>
      </c>
      <c r="G183" s="528">
        <v>0</v>
      </c>
      <c r="H183" s="528">
        <v>0</v>
      </c>
      <c r="I183" s="528">
        <v>0</v>
      </c>
      <c r="J183" s="529">
        <v>0</v>
      </c>
      <c r="K183" s="529">
        <v>0</v>
      </c>
      <c r="L183" s="528">
        <v>0</v>
      </c>
      <c r="M183" s="528">
        <v>0</v>
      </c>
      <c r="N183" s="528">
        <v>0</v>
      </c>
      <c r="O183" s="529">
        <v>0</v>
      </c>
      <c r="P183" s="529">
        <v>0</v>
      </c>
      <c r="Q183" s="528">
        <v>0</v>
      </c>
      <c r="R183" s="529">
        <v>0</v>
      </c>
      <c r="S183" s="529">
        <v>0</v>
      </c>
      <c r="T183" s="529">
        <v>0</v>
      </c>
      <c r="U183" s="529">
        <v>0</v>
      </c>
      <c r="V183" s="535"/>
    </row>
    <row r="184" spans="1:22">
      <c r="A184" s="530"/>
      <c r="B184" s="531" t="s">
        <v>780</v>
      </c>
      <c r="C184" s="532">
        <v>0</v>
      </c>
      <c r="D184" s="533">
        <v>0</v>
      </c>
      <c r="E184" s="533">
        <v>0</v>
      </c>
      <c r="F184" s="533">
        <v>0</v>
      </c>
      <c r="G184" s="533">
        <v>0</v>
      </c>
      <c r="H184" s="533">
        <v>0</v>
      </c>
      <c r="I184" s="533">
        <v>0</v>
      </c>
      <c r="J184" s="534">
        <v>0</v>
      </c>
      <c r="K184" s="534">
        <v>0</v>
      </c>
      <c r="L184" s="533">
        <v>0</v>
      </c>
      <c r="M184" s="533">
        <v>0</v>
      </c>
      <c r="N184" s="533">
        <v>0</v>
      </c>
      <c r="O184" s="534">
        <v>0</v>
      </c>
      <c r="P184" s="534">
        <v>0</v>
      </c>
      <c r="Q184" s="533">
        <v>0</v>
      </c>
      <c r="R184" s="534">
        <v>0</v>
      </c>
      <c r="S184" s="534">
        <v>0</v>
      </c>
      <c r="T184" s="534">
        <v>0</v>
      </c>
      <c r="U184" s="534">
        <v>0</v>
      </c>
      <c r="V184" s="535"/>
    </row>
    <row r="185" spans="1:22" ht="15.75" thickBot="1">
      <c r="A185" s="546"/>
      <c r="B185" s="547" t="s">
        <v>781</v>
      </c>
      <c r="C185" s="548">
        <v>0</v>
      </c>
      <c r="D185" s="549">
        <v>0</v>
      </c>
      <c r="E185" s="549">
        <v>0</v>
      </c>
      <c r="F185" s="549">
        <v>0</v>
      </c>
      <c r="G185" s="549">
        <v>0</v>
      </c>
      <c r="H185" s="549">
        <v>0</v>
      </c>
      <c r="I185" s="549">
        <v>0</v>
      </c>
      <c r="J185" s="550">
        <v>0</v>
      </c>
      <c r="K185" s="550">
        <v>0</v>
      </c>
      <c r="L185" s="549">
        <v>0</v>
      </c>
      <c r="M185" s="549">
        <v>0</v>
      </c>
      <c r="N185" s="549">
        <v>0</v>
      </c>
      <c r="O185" s="550">
        <v>0</v>
      </c>
      <c r="P185" s="550">
        <v>0</v>
      </c>
      <c r="Q185" s="549">
        <v>0</v>
      </c>
      <c r="R185" s="550">
        <v>0</v>
      </c>
      <c r="S185" s="550">
        <v>0</v>
      </c>
      <c r="T185" s="550">
        <v>0</v>
      </c>
      <c r="U185" s="550">
        <v>0</v>
      </c>
      <c r="V185" s="535"/>
    </row>
    <row r="186" spans="1:22">
      <c r="A186" s="526" t="s">
        <v>226</v>
      </c>
      <c r="B186" s="508" t="s">
        <v>746</v>
      </c>
      <c r="C186" s="527">
        <v>0.88791282984885822</v>
      </c>
      <c r="D186" s="528">
        <v>0</v>
      </c>
      <c r="E186" s="528">
        <v>0.74169271534794567</v>
      </c>
      <c r="F186" s="528">
        <v>0.688895430460577</v>
      </c>
      <c r="G186" s="528">
        <v>0</v>
      </c>
      <c r="H186" s="528">
        <v>0</v>
      </c>
      <c r="I186" s="528">
        <v>0</v>
      </c>
      <c r="J186" s="529">
        <v>0.79882528668073416</v>
      </c>
      <c r="K186" s="529">
        <v>0</v>
      </c>
      <c r="L186" s="528">
        <v>0.62058071114604185</v>
      </c>
      <c r="M186" s="528">
        <v>0.50717684308874167</v>
      </c>
      <c r="N186" s="528">
        <v>0.46038569000214924</v>
      </c>
      <c r="O186" s="529">
        <v>0.53311967215268019</v>
      </c>
      <c r="P186" s="529">
        <v>0.63034016451519304</v>
      </c>
      <c r="Q186" s="528">
        <v>0</v>
      </c>
      <c r="R186" s="529">
        <v>0.63034016451519304</v>
      </c>
      <c r="S186" s="529">
        <v>0</v>
      </c>
      <c r="T186" s="529">
        <v>0</v>
      </c>
      <c r="U186" s="529">
        <v>0.71348325333552665</v>
      </c>
      <c r="V186" s="535"/>
    </row>
    <row r="187" spans="1:22">
      <c r="A187" s="530"/>
      <c r="B187" s="531" t="s">
        <v>747</v>
      </c>
      <c r="C187" s="532">
        <v>0.87052638743673272</v>
      </c>
      <c r="D187" s="533">
        <v>0</v>
      </c>
      <c r="E187" s="533">
        <v>0.72249816070860917</v>
      </c>
      <c r="F187" s="533">
        <v>0.70110794409709454</v>
      </c>
      <c r="G187" s="533">
        <v>0</v>
      </c>
      <c r="H187" s="533">
        <v>0</v>
      </c>
      <c r="I187" s="533">
        <v>0</v>
      </c>
      <c r="J187" s="534">
        <v>0.78118775184404421</v>
      </c>
      <c r="K187" s="534">
        <v>0</v>
      </c>
      <c r="L187" s="533">
        <v>0.60296206660703955</v>
      </c>
      <c r="M187" s="533">
        <v>0.47262351820194493</v>
      </c>
      <c r="N187" s="533">
        <v>0.46077740929015626</v>
      </c>
      <c r="O187" s="534">
        <v>0.51208115009883082</v>
      </c>
      <c r="P187" s="534">
        <v>0.63362474243303257</v>
      </c>
      <c r="Q187" s="533">
        <v>0</v>
      </c>
      <c r="R187" s="534">
        <v>0.63362474243303257</v>
      </c>
      <c r="S187" s="534">
        <v>0</v>
      </c>
      <c r="T187" s="534">
        <v>0</v>
      </c>
      <c r="U187" s="534">
        <v>0.69564141204015439</v>
      </c>
      <c r="V187" s="535"/>
    </row>
    <row r="188" spans="1:22">
      <c r="A188" s="530"/>
      <c r="B188" s="536" t="s">
        <v>748</v>
      </c>
      <c r="C188" s="537">
        <v>-1.7386442412125502</v>
      </c>
      <c r="D188" s="538">
        <v>0</v>
      </c>
      <c r="E188" s="538">
        <v>-1.9194554639336503</v>
      </c>
      <c r="F188" s="538">
        <v>1.2212513636517541</v>
      </c>
      <c r="G188" s="538">
        <v>0</v>
      </c>
      <c r="H188" s="538">
        <v>0</v>
      </c>
      <c r="I188" s="538">
        <v>0</v>
      </c>
      <c r="J188" s="540">
        <v>-1.763753483668995</v>
      </c>
      <c r="K188" s="540">
        <v>0</v>
      </c>
      <c r="L188" s="538">
        <v>-1.7618644539002304</v>
      </c>
      <c r="M188" s="538">
        <v>-3.4553324886796744</v>
      </c>
      <c r="N188" s="538">
        <v>3.9171928800701972E-2</v>
      </c>
      <c r="O188" s="540">
        <v>-2.1038522053849373</v>
      </c>
      <c r="P188" s="540">
        <v>0.32845779178395373</v>
      </c>
      <c r="Q188" s="538">
        <v>0</v>
      </c>
      <c r="R188" s="540">
        <v>0.32845779178395373</v>
      </c>
      <c r="S188" s="540">
        <v>0</v>
      </c>
      <c r="T188" s="540">
        <v>0</v>
      </c>
      <c r="U188" s="540">
        <v>-1.7841841295372252</v>
      </c>
      <c r="V188" s="535"/>
    </row>
    <row r="189" spans="1:22">
      <c r="A189" s="530"/>
      <c r="B189" s="508" t="s">
        <v>749</v>
      </c>
      <c r="C189" s="527">
        <v>1.8373136695357981E-2</v>
      </c>
      <c r="D189" s="528">
        <v>0</v>
      </c>
      <c r="E189" s="528">
        <v>6.216102783189361E-2</v>
      </c>
      <c r="F189" s="528">
        <v>4.8231511254019296E-3</v>
      </c>
      <c r="G189" s="528">
        <v>0</v>
      </c>
      <c r="H189" s="528">
        <v>0</v>
      </c>
      <c r="I189" s="528">
        <v>0</v>
      </c>
      <c r="J189" s="529">
        <v>4.3863614378596955E-2</v>
      </c>
      <c r="K189" s="529">
        <v>0</v>
      </c>
      <c r="L189" s="528">
        <v>4.4507134622241075E-2</v>
      </c>
      <c r="M189" s="528">
        <v>4.5526584424797137E-2</v>
      </c>
      <c r="N189" s="528">
        <v>0.11636349426545006</v>
      </c>
      <c r="O189" s="529">
        <v>6.0086460536166973E-2</v>
      </c>
      <c r="P189" s="529">
        <v>5.3275120957130231E-2</v>
      </c>
      <c r="Q189" s="528">
        <v>0</v>
      </c>
      <c r="R189" s="529">
        <v>5.3275120957130231E-2</v>
      </c>
      <c r="S189" s="529">
        <v>0</v>
      </c>
      <c r="T189" s="529">
        <v>0</v>
      </c>
      <c r="U189" s="529">
        <v>4.9042474233264598E-2</v>
      </c>
      <c r="V189" s="535"/>
    </row>
    <row r="190" spans="1:22">
      <c r="A190" s="530"/>
      <c r="B190" s="531" t="s">
        <v>750</v>
      </c>
      <c r="C190" s="532">
        <v>2.0888360335559939E-2</v>
      </c>
      <c r="D190" s="533">
        <v>0</v>
      </c>
      <c r="E190" s="533">
        <v>6.1524861222965965E-2</v>
      </c>
      <c r="F190" s="533">
        <v>0</v>
      </c>
      <c r="G190" s="533">
        <v>0</v>
      </c>
      <c r="H190" s="533">
        <v>0</v>
      </c>
      <c r="I190" s="533">
        <v>0</v>
      </c>
      <c r="J190" s="534">
        <v>4.4307961693500493E-2</v>
      </c>
      <c r="K190" s="534">
        <v>0</v>
      </c>
      <c r="L190" s="533">
        <v>4.2523807018466878E-2</v>
      </c>
      <c r="M190" s="533">
        <v>5.6190973292604321E-2</v>
      </c>
      <c r="N190" s="533">
        <v>5.4812178017934962E-2</v>
      </c>
      <c r="O190" s="534">
        <v>5.1535442005333408E-2</v>
      </c>
      <c r="P190" s="534">
        <v>5.2193570328285352E-2</v>
      </c>
      <c r="Q190" s="533">
        <v>0</v>
      </c>
      <c r="R190" s="534">
        <v>5.2193570328285352E-2</v>
      </c>
      <c r="S190" s="534">
        <v>0</v>
      </c>
      <c r="T190" s="534">
        <v>0</v>
      </c>
      <c r="U190" s="534">
        <v>4.6753021374006366E-2</v>
      </c>
      <c r="V190" s="535"/>
    </row>
    <row r="191" spans="1:22">
      <c r="A191" s="530"/>
      <c r="B191" s="536" t="s">
        <v>751</v>
      </c>
      <c r="C191" s="537">
        <v>0.25152236402019579</v>
      </c>
      <c r="D191" s="538">
        <v>0</v>
      </c>
      <c r="E191" s="538">
        <v>-6.3616660892764493E-2</v>
      </c>
      <c r="F191" s="538">
        <v>-0.48231511254019299</v>
      </c>
      <c r="G191" s="538">
        <v>0</v>
      </c>
      <c r="H191" s="538">
        <v>0</v>
      </c>
      <c r="I191" s="538">
        <v>0</v>
      </c>
      <c r="J191" s="540">
        <v>4.4434731490353846E-2</v>
      </c>
      <c r="K191" s="540">
        <v>0</v>
      </c>
      <c r="L191" s="538">
        <v>-0.19833276037741973</v>
      </c>
      <c r="M191" s="538">
        <v>1.0664388867807184</v>
      </c>
      <c r="N191" s="538">
        <v>-6.15513162475151</v>
      </c>
      <c r="O191" s="540">
        <v>-0.85510185308335651</v>
      </c>
      <c r="P191" s="540">
        <v>-0.10815506288448795</v>
      </c>
      <c r="Q191" s="538">
        <v>0</v>
      </c>
      <c r="R191" s="540">
        <v>-0.10815506288448795</v>
      </c>
      <c r="S191" s="540">
        <v>0</v>
      </c>
      <c r="T191" s="540">
        <v>0</v>
      </c>
      <c r="U191" s="540">
        <v>-0.22894528592582314</v>
      </c>
      <c r="V191" s="535"/>
    </row>
    <row r="192" spans="1:22">
      <c r="A192" s="530"/>
      <c r="B192" s="508" t="s">
        <v>752</v>
      </c>
      <c r="C192" s="527">
        <v>9.2383184374069685E-2</v>
      </c>
      <c r="D192" s="528">
        <v>0</v>
      </c>
      <c r="E192" s="528">
        <v>0.18135519960911317</v>
      </c>
      <c r="F192" s="528">
        <v>0.30625877451202393</v>
      </c>
      <c r="G192" s="528">
        <v>0</v>
      </c>
      <c r="H192" s="528">
        <v>0</v>
      </c>
      <c r="I192" s="528">
        <v>0</v>
      </c>
      <c r="J192" s="529">
        <v>0.14809818040445183</v>
      </c>
      <c r="K192" s="529">
        <v>0</v>
      </c>
      <c r="L192" s="528">
        <v>0.33491215423171711</v>
      </c>
      <c r="M192" s="528">
        <v>0.44729657248646121</v>
      </c>
      <c r="N192" s="528">
        <v>0.4232508157324007</v>
      </c>
      <c r="O192" s="529">
        <v>0.40679386731115286</v>
      </c>
      <c r="P192" s="529">
        <v>0.31638471452767675</v>
      </c>
      <c r="Q192" s="528">
        <v>0</v>
      </c>
      <c r="R192" s="529">
        <v>0.31638471452767675</v>
      </c>
      <c r="S192" s="529">
        <v>0</v>
      </c>
      <c r="T192" s="529">
        <v>0</v>
      </c>
      <c r="U192" s="529">
        <v>0.23134273919540027</v>
      </c>
      <c r="V192" s="535"/>
    </row>
    <row r="193" spans="1:22">
      <c r="A193" s="530"/>
      <c r="B193" s="531" t="s">
        <v>753</v>
      </c>
      <c r="C193" s="532">
        <v>0.10694885868404086</v>
      </c>
      <c r="D193" s="533">
        <v>0</v>
      </c>
      <c r="E193" s="533">
        <v>0.20218535543621027</v>
      </c>
      <c r="F193" s="533">
        <v>0.29886906951084957</v>
      </c>
      <c r="G193" s="533">
        <v>0</v>
      </c>
      <c r="H193" s="533">
        <v>0</v>
      </c>
      <c r="I193" s="533">
        <v>0</v>
      </c>
      <c r="J193" s="534">
        <v>0.16578657538099689</v>
      </c>
      <c r="K193" s="534">
        <v>0</v>
      </c>
      <c r="L193" s="533">
        <v>0.35451412637449359</v>
      </c>
      <c r="M193" s="533">
        <v>0.47118550850545077</v>
      </c>
      <c r="N193" s="533">
        <v>0.48441041269190876</v>
      </c>
      <c r="O193" s="534">
        <v>0.4363834078958358</v>
      </c>
      <c r="P193" s="534">
        <v>0.31418168723868206</v>
      </c>
      <c r="Q193" s="533">
        <v>0</v>
      </c>
      <c r="R193" s="534">
        <v>0.31418168723868206</v>
      </c>
      <c r="S193" s="534">
        <v>0</v>
      </c>
      <c r="T193" s="534">
        <v>0</v>
      </c>
      <c r="U193" s="534">
        <v>0.2518072068588218</v>
      </c>
      <c r="V193" s="535"/>
    </row>
    <row r="194" spans="1:22">
      <c r="A194" s="530"/>
      <c r="B194" s="536" t="s">
        <v>754</v>
      </c>
      <c r="C194" s="537">
        <v>1.4565674309971175</v>
      </c>
      <c r="D194" s="538">
        <v>0</v>
      </c>
      <c r="E194" s="538">
        <v>2.0830155827097103</v>
      </c>
      <c r="F194" s="538">
        <v>-0.73897050011743626</v>
      </c>
      <c r="G194" s="538">
        <v>0</v>
      </c>
      <c r="H194" s="538">
        <v>0</v>
      </c>
      <c r="I194" s="538">
        <v>0</v>
      </c>
      <c r="J194" s="540">
        <v>1.7688394976545063</v>
      </c>
      <c r="K194" s="540">
        <v>0</v>
      </c>
      <c r="L194" s="538">
        <v>1.960197214277648</v>
      </c>
      <c r="M194" s="538">
        <v>2.3888936018989559</v>
      </c>
      <c r="N194" s="538">
        <v>6.1159596959508065</v>
      </c>
      <c r="O194" s="540">
        <v>2.9589540584682936</v>
      </c>
      <c r="P194" s="540">
        <v>-0.22030272889946856</v>
      </c>
      <c r="Q194" s="538">
        <v>0</v>
      </c>
      <c r="R194" s="540">
        <v>-0.22030272889946856</v>
      </c>
      <c r="S194" s="540">
        <v>0</v>
      </c>
      <c r="T194" s="540">
        <v>0</v>
      </c>
      <c r="U194" s="540">
        <v>2.0464467663421528</v>
      </c>
      <c r="V194" s="535"/>
    </row>
    <row r="195" spans="1:22">
      <c r="A195" s="530"/>
      <c r="B195" s="508" t="s">
        <v>755</v>
      </c>
      <c r="C195" s="527">
        <v>1.6693577331605857E-4</v>
      </c>
      <c r="D195" s="528">
        <v>0</v>
      </c>
      <c r="E195" s="528">
        <v>1.4442140606501E-2</v>
      </c>
      <c r="F195" s="528">
        <v>2.2643901997192158E-5</v>
      </c>
      <c r="G195" s="528">
        <v>0</v>
      </c>
      <c r="H195" s="528">
        <v>0</v>
      </c>
      <c r="I195" s="528">
        <v>0</v>
      </c>
      <c r="J195" s="529">
        <v>8.5464458283111867E-3</v>
      </c>
      <c r="K195" s="529">
        <v>0</v>
      </c>
      <c r="L195" s="528">
        <v>0</v>
      </c>
      <c r="M195" s="528">
        <v>0</v>
      </c>
      <c r="N195" s="528">
        <v>0</v>
      </c>
      <c r="O195" s="529">
        <v>0</v>
      </c>
      <c r="P195" s="529">
        <v>0</v>
      </c>
      <c r="Q195" s="528">
        <v>0</v>
      </c>
      <c r="R195" s="529">
        <v>0</v>
      </c>
      <c r="S195" s="529">
        <v>0</v>
      </c>
      <c r="T195" s="529">
        <v>0</v>
      </c>
      <c r="U195" s="529">
        <v>5.6879713457060662E-3</v>
      </c>
      <c r="V195" s="535"/>
    </row>
    <row r="196" spans="1:22">
      <c r="A196" s="530"/>
      <c r="B196" s="531" t="s">
        <v>756</v>
      </c>
      <c r="C196" s="532">
        <v>5.1048672072784057E-4</v>
      </c>
      <c r="D196" s="533">
        <v>0</v>
      </c>
      <c r="E196" s="533">
        <v>1.3754869044387372E-2</v>
      </c>
      <c r="F196" s="533">
        <v>2.2986392055902906E-5</v>
      </c>
      <c r="G196" s="533">
        <v>0</v>
      </c>
      <c r="H196" s="533">
        <v>0</v>
      </c>
      <c r="I196" s="533">
        <v>0</v>
      </c>
      <c r="J196" s="534">
        <v>8.2471560263284605E-3</v>
      </c>
      <c r="K196" s="534">
        <v>0</v>
      </c>
      <c r="L196" s="533">
        <v>0</v>
      </c>
      <c r="M196" s="533">
        <v>0</v>
      </c>
      <c r="N196" s="533">
        <v>0</v>
      </c>
      <c r="O196" s="534">
        <v>0</v>
      </c>
      <c r="P196" s="534">
        <v>0</v>
      </c>
      <c r="Q196" s="533">
        <v>0</v>
      </c>
      <c r="R196" s="534">
        <v>0</v>
      </c>
      <c r="S196" s="534">
        <v>0</v>
      </c>
      <c r="T196" s="534">
        <v>0</v>
      </c>
      <c r="U196" s="534">
        <v>5.485382220018673E-3</v>
      </c>
      <c r="V196" s="535"/>
    </row>
    <row r="197" spans="1:22">
      <c r="A197" s="530"/>
      <c r="B197" s="536" t="s">
        <v>757</v>
      </c>
      <c r="C197" s="537">
        <v>3.4355094741178205E-2</v>
      </c>
      <c r="D197" s="538">
        <v>0</v>
      </c>
      <c r="E197" s="538">
        <v>-6.87271562113628E-2</v>
      </c>
      <c r="F197" s="538">
        <v>3.4249005871074857E-5</v>
      </c>
      <c r="G197" s="538">
        <v>0</v>
      </c>
      <c r="H197" s="538">
        <v>0</v>
      </c>
      <c r="I197" s="538">
        <v>0</v>
      </c>
      <c r="J197" s="540">
        <v>-2.9928980198272621E-2</v>
      </c>
      <c r="K197" s="540">
        <v>0</v>
      </c>
      <c r="L197" s="538">
        <v>0</v>
      </c>
      <c r="M197" s="538">
        <v>0</v>
      </c>
      <c r="N197" s="538">
        <v>0</v>
      </c>
      <c r="O197" s="540">
        <v>0</v>
      </c>
      <c r="P197" s="540">
        <v>0</v>
      </c>
      <c r="Q197" s="538">
        <v>0</v>
      </c>
      <c r="R197" s="540">
        <v>0</v>
      </c>
      <c r="S197" s="540">
        <v>0</v>
      </c>
      <c r="T197" s="540">
        <v>0</v>
      </c>
      <c r="U197" s="540">
        <v>-2.025891256873932E-2</v>
      </c>
      <c r="V197" s="535"/>
    </row>
    <row r="198" spans="1:22">
      <c r="A198" s="530"/>
      <c r="B198" s="508" t="s">
        <v>758</v>
      </c>
      <c r="C198" s="527">
        <v>1.163913308398075E-3</v>
      </c>
      <c r="D198" s="528">
        <v>0</v>
      </c>
      <c r="E198" s="528">
        <v>3.4891660454656499E-4</v>
      </c>
      <c r="F198" s="528">
        <v>0</v>
      </c>
      <c r="G198" s="528">
        <v>0</v>
      </c>
      <c r="H198" s="528">
        <v>0</v>
      </c>
      <c r="I198" s="528">
        <v>0</v>
      </c>
      <c r="J198" s="529">
        <v>6.6647270790583019E-4</v>
      </c>
      <c r="K198" s="529">
        <v>0</v>
      </c>
      <c r="L198" s="528">
        <v>0</v>
      </c>
      <c r="M198" s="528">
        <v>0</v>
      </c>
      <c r="N198" s="528">
        <v>0</v>
      </c>
      <c r="O198" s="529">
        <v>0</v>
      </c>
      <c r="P198" s="529">
        <v>0</v>
      </c>
      <c r="Q198" s="528">
        <v>0</v>
      </c>
      <c r="R198" s="529">
        <v>0</v>
      </c>
      <c r="S198" s="529">
        <v>0</v>
      </c>
      <c r="T198" s="529">
        <v>0</v>
      </c>
      <c r="U198" s="529">
        <v>4.435618901024011E-4</v>
      </c>
      <c r="V198" s="535"/>
    </row>
    <row r="199" spans="1:22">
      <c r="A199" s="530"/>
      <c r="B199" s="531" t="s">
        <v>759</v>
      </c>
      <c r="C199" s="532">
        <v>1.1259068229386262E-3</v>
      </c>
      <c r="D199" s="533">
        <v>0</v>
      </c>
      <c r="E199" s="533">
        <v>3.675358782721171E-5</v>
      </c>
      <c r="F199" s="533">
        <v>0</v>
      </c>
      <c r="G199" s="533">
        <v>0</v>
      </c>
      <c r="H199" s="533">
        <v>0</v>
      </c>
      <c r="I199" s="533">
        <v>0</v>
      </c>
      <c r="J199" s="534">
        <v>4.7055505512997388E-4</v>
      </c>
      <c r="K199" s="534">
        <v>0</v>
      </c>
      <c r="L199" s="533">
        <v>0</v>
      </c>
      <c r="M199" s="533">
        <v>0</v>
      </c>
      <c r="N199" s="533">
        <v>0</v>
      </c>
      <c r="O199" s="534">
        <v>0</v>
      </c>
      <c r="P199" s="534">
        <v>0</v>
      </c>
      <c r="Q199" s="533">
        <v>0</v>
      </c>
      <c r="R199" s="534">
        <v>0</v>
      </c>
      <c r="S199" s="534">
        <v>0</v>
      </c>
      <c r="T199" s="534">
        <v>0</v>
      </c>
      <c r="U199" s="534">
        <v>3.1297750699873378E-4</v>
      </c>
      <c r="V199" s="535"/>
    </row>
    <row r="200" spans="1:22">
      <c r="A200" s="530"/>
      <c r="B200" s="536" t="s">
        <v>760</v>
      </c>
      <c r="C200" s="537">
        <v>-3.8006485459448833E-3</v>
      </c>
      <c r="D200" s="538">
        <v>0</v>
      </c>
      <c r="E200" s="538">
        <v>-3.1216301671935329E-2</v>
      </c>
      <c r="F200" s="538">
        <v>0</v>
      </c>
      <c r="G200" s="538">
        <v>0</v>
      </c>
      <c r="H200" s="538">
        <v>0</v>
      </c>
      <c r="I200" s="538">
        <v>0</v>
      </c>
      <c r="J200" s="540">
        <v>-1.9591765277585632E-2</v>
      </c>
      <c r="K200" s="540">
        <v>0</v>
      </c>
      <c r="L200" s="538">
        <v>0</v>
      </c>
      <c r="M200" s="538">
        <v>0</v>
      </c>
      <c r="N200" s="538">
        <v>0</v>
      </c>
      <c r="O200" s="540">
        <v>0</v>
      </c>
      <c r="P200" s="540">
        <v>0</v>
      </c>
      <c r="Q200" s="538">
        <v>0</v>
      </c>
      <c r="R200" s="540">
        <v>0</v>
      </c>
      <c r="S200" s="540">
        <v>0</v>
      </c>
      <c r="T200" s="540">
        <v>0</v>
      </c>
      <c r="U200" s="540">
        <v>-1.3058438310366733E-2</v>
      </c>
      <c r="V200" s="535"/>
    </row>
    <row r="201" spans="1:22">
      <c r="A201" s="530"/>
      <c r="B201" s="508" t="s">
        <v>761</v>
      </c>
      <c r="C201" s="527">
        <v>0</v>
      </c>
      <c r="D201" s="528">
        <v>0</v>
      </c>
      <c r="E201" s="528">
        <v>0</v>
      </c>
      <c r="F201" s="528">
        <v>0</v>
      </c>
      <c r="G201" s="528">
        <v>0</v>
      </c>
      <c r="H201" s="528">
        <v>0</v>
      </c>
      <c r="I201" s="528">
        <v>0</v>
      </c>
      <c r="J201" s="529">
        <v>0</v>
      </c>
      <c r="K201" s="529">
        <v>0</v>
      </c>
      <c r="L201" s="528">
        <v>0</v>
      </c>
      <c r="M201" s="528">
        <v>0</v>
      </c>
      <c r="N201" s="528">
        <v>0</v>
      </c>
      <c r="O201" s="529">
        <v>0</v>
      </c>
      <c r="P201" s="529">
        <v>0</v>
      </c>
      <c r="Q201" s="528">
        <v>0</v>
      </c>
      <c r="R201" s="529">
        <v>0</v>
      </c>
      <c r="S201" s="529">
        <v>0</v>
      </c>
      <c r="T201" s="529">
        <v>0</v>
      </c>
      <c r="U201" s="529">
        <v>0</v>
      </c>
      <c r="V201" s="535"/>
    </row>
    <row r="202" spans="1:22">
      <c r="A202" s="530"/>
      <c r="B202" s="531" t="s">
        <v>762</v>
      </c>
      <c r="C202" s="532">
        <v>0</v>
      </c>
      <c r="D202" s="533">
        <v>0</v>
      </c>
      <c r="E202" s="533">
        <v>0</v>
      </c>
      <c r="F202" s="533">
        <v>0</v>
      </c>
      <c r="G202" s="533">
        <v>0</v>
      </c>
      <c r="H202" s="533">
        <v>0</v>
      </c>
      <c r="I202" s="533">
        <v>0</v>
      </c>
      <c r="J202" s="534">
        <v>0</v>
      </c>
      <c r="K202" s="534">
        <v>0</v>
      </c>
      <c r="L202" s="533">
        <v>0</v>
      </c>
      <c r="M202" s="533">
        <v>0</v>
      </c>
      <c r="N202" s="533">
        <v>0</v>
      </c>
      <c r="O202" s="534">
        <v>0</v>
      </c>
      <c r="P202" s="534">
        <v>0</v>
      </c>
      <c r="Q202" s="533">
        <v>0</v>
      </c>
      <c r="R202" s="534">
        <v>0</v>
      </c>
      <c r="S202" s="534">
        <v>0</v>
      </c>
      <c r="T202" s="534">
        <v>0</v>
      </c>
      <c r="U202" s="534">
        <v>0</v>
      </c>
      <c r="V202" s="535"/>
    </row>
    <row r="203" spans="1:22" ht="15.75" thickBot="1">
      <c r="A203" s="530"/>
      <c r="B203" s="542" t="s">
        <v>763</v>
      </c>
      <c r="C203" s="543">
        <v>0</v>
      </c>
      <c r="D203" s="544">
        <v>0</v>
      </c>
      <c r="E203" s="544">
        <v>0</v>
      </c>
      <c r="F203" s="544">
        <v>0</v>
      </c>
      <c r="G203" s="544">
        <v>0</v>
      </c>
      <c r="H203" s="544">
        <v>0</v>
      </c>
      <c r="I203" s="544">
        <v>0</v>
      </c>
      <c r="J203" s="545">
        <v>0</v>
      </c>
      <c r="K203" s="545">
        <v>0</v>
      </c>
      <c r="L203" s="544">
        <v>0</v>
      </c>
      <c r="M203" s="544">
        <v>0</v>
      </c>
      <c r="N203" s="544">
        <v>0</v>
      </c>
      <c r="O203" s="545">
        <v>0</v>
      </c>
      <c r="P203" s="545">
        <v>0</v>
      </c>
      <c r="Q203" s="544">
        <v>0</v>
      </c>
      <c r="R203" s="545">
        <v>0</v>
      </c>
      <c r="S203" s="545">
        <v>0</v>
      </c>
      <c r="T203" s="545">
        <v>0</v>
      </c>
      <c r="U203" s="545">
        <v>0</v>
      </c>
      <c r="V203" s="535"/>
    </row>
    <row r="204" spans="1:22" ht="15.75" thickTop="1">
      <c r="A204" s="530"/>
      <c r="B204" s="531" t="s">
        <v>764</v>
      </c>
      <c r="C204" s="532">
        <v>0.74473390398213624</v>
      </c>
      <c r="D204" s="533">
        <v>0</v>
      </c>
      <c r="E204" s="533">
        <v>0.45975314664219102</v>
      </c>
      <c r="F204" s="533">
        <v>0.80883567299752268</v>
      </c>
      <c r="G204" s="533">
        <v>0</v>
      </c>
      <c r="H204" s="533">
        <v>0</v>
      </c>
      <c r="I204" s="533">
        <v>0</v>
      </c>
      <c r="J204" s="534">
        <v>0.60622708902683731</v>
      </c>
      <c r="K204" s="534">
        <v>0</v>
      </c>
      <c r="L204" s="533">
        <v>0</v>
      </c>
      <c r="M204" s="533">
        <v>0</v>
      </c>
      <c r="N204" s="533">
        <v>0</v>
      </c>
      <c r="O204" s="534">
        <v>0</v>
      </c>
      <c r="P204" s="534">
        <v>0</v>
      </c>
      <c r="Q204" s="533">
        <v>0</v>
      </c>
      <c r="R204" s="534">
        <v>0</v>
      </c>
      <c r="S204" s="534">
        <v>0</v>
      </c>
      <c r="T204" s="534">
        <v>0</v>
      </c>
      <c r="U204" s="534">
        <v>0.60622708902683731</v>
      </c>
      <c r="V204" s="535"/>
    </row>
    <row r="205" spans="1:22">
      <c r="A205" s="530"/>
      <c r="B205" s="531" t="s">
        <v>765</v>
      </c>
      <c r="C205" s="532">
        <v>0.72338064579065453</v>
      </c>
      <c r="D205" s="533">
        <v>0</v>
      </c>
      <c r="E205" s="533">
        <v>0.42683542011589404</v>
      </c>
      <c r="F205" s="533">
        <v>0.7931034482758621</v>
      </c>
      <c r="G205" s="533">
        <v>0</v>
      </c>
      <c r="H205" s="533">
        <v>0</v>
      </c>
      <c r="I205" s="533">
        <v>0</v>
      </c>
      <c r="J205" s="534">
        <v>0.580734732080181</v>
      </c>
      <c r="K205" s="534">
        <v>0</v>
      </c>
      <c r="L205" s="533">
        <v>0</v>
      </c>
      <c r="M205" s="533">
        <v>0</v>
      </c>
      <c r="N205" s="533">
        <v>0</v>
      </c>
      <c r="O205" s="534">
        <v>0</v>
      </c>
      <c r="P205" s="534">
        <v>0</v>
      </c>
      <c r="Q205" s="533">
        <v>0</v>
      </c>
      <c r="R205" s="534">
        <v>0</v>
      </c>
      <c r="S205" s="534">
        <v>0</v>
      </c>
      <c r="T205" s="534">
        <v>0</v>
      </c>
      <c r="U205" s="534">
        <v>0.580734732080181</v>
      </c>
      <c r="V205" s="535"/>
    </row>
    <row r="206" spans="1:22">
      <c r="A206" s="530"/>
      <c r="B206" s="536" t="s">
        <v>766</v>
      </c>
      <c r="C206" s="537">
        <v>-2.1353258191481705</v>
      </c>
      <c r="D206" s="538">
        <v>0</v>
      </c>
      <c r="E206" s="538">
        <v>-3.2917726526296986</v>
      </c>
      <c r="F206" s="538">
        <v>-1.5732224721660582</v>
      </c>
      <c r="G206" s="538">
        <v>0</v>
      </c>
      <c r="H206" s="538">
        <v>0</v>
      </c>
      <c r="I206" s="538">
        <v>0</v>
      </c>
      <c r="J206" s="540">
        <v>-2.5492356946656303</v>
      </c>
      <c r="K206" s="540">
        <v>0</v>
      </c>
      <c r="L206" s="538">
        <v>0</v>
      </c>
      <c r="M206" s="538">
        <v>0</v>
      </c>
      <c r="N206" s="538">
        <v>0</v>
      </c>
      <c r="O206" s="540">
        <v>0</v>
      </c>
      <c r="P206" s="540">
        <v>0</v>
      </c>
      <c r="Q206" s="538">
        <v>0</v>
      </c>
      <c r="R206" s="540">
        <v>0</v>
      </c>
      <c r="S206" s="540">
        <v>0</v>
      </c>
      <c r="T206" s="540">
        <v>0</v>
      </c>
      <c r="U206" s="540">
        <v>-2.5492356946656303</v>
      </c>
      <c r="V206" s="535"/>
    </row>
    <row r="207" spans="1:22">
      <c r="A207" s="530"/>
      <c r="B207" s="508" t="s">
        <v>767</v>
      </c>
      <c r="C207" s="527">
        <v>4.201091675970723E-2</v>
      </c>
      <c r="D207" s="528">
        <v>0</v>
      </c>
      <c r="E207" s="528">
        <v>2.8401614880520665E-2</v>
      </c>
      <c r="F207" s="528">
        <v>0</v>
      </c>
      <c r="G207" s="528">
        <v>0</v>
      </c>
      <c r="H207" s="528">
        <v>0</v>
      </c>
      <c r="I207" s="528">
        <v>0</v>
      </c>
      <c r="J207" s="529">
        <v>3.5054767204164748E-2</v>
      </c>
      <c r="K207" s="529">
        <v>0</v>
      </c>
      <c r="L207" s="528">
        <v>0</v>
      </c>
      <c r="M207" s="528">
        <v>0</v>
      </c>
      <c r="N207" s="528">
        <v>0</v>
      </c>
      <c r="O207" s="529">
        <v>0</v>
      </c>
      <c r="P207" s="529">
        <v>0</v>
      </c>
      <c r="Q207" s="528">
        <v>0</v>
      </c>
      <c r="R207" s="529">
        <v>0</v>
      </c>
      <c r="S207" s="529">
        <v>0</v>
      </c>
      <c r="T207" s="529">
        <v>0</v>
      </c>
      <c r="U207" s="529">
        <v>3.5054767204164748E-2</v>
      </c>
      <c r="V207" s="535"/>
    </row>
    <row r="208" spans="1:22">
      <c r="A208" s="530"/>
      <c r="B208" s="531" t="s">
        <v>768</v>
      </c>
      <c r="C208" s="532">
        <v>3.9880255584820994E-2</v>
      </c>
      <c r="D208" s="533">
        <v>0</v>
      </c>
      <c r="E208" s="533">
        <v>3.0441587334437085E-2</v>
      </c>
      <c r="F208" s="533">
        <v>0</v>
      </c>
      <c r="G208" s="533">
        <v>0</v>
      </c>
      <c r="H208" s="533">
        <v>0</v>
      </c>
      <c r="I208" s="533">
        <v>0</v>
      </c>
      <c r="J208" s="534">
        <v>3.5092426487793461E-2</v>
      </c>
      <c r="K208" s="534">
        <v>0</v>
      </c>
      <c r="L208" s="533">
        <v>0</v>
      </c>
      <c r="M208" s="533">
        <v>0</v>
      </c>
      <c r="N208" s="533">
        <v>0</v>
      </c>
      <c r="O208" s="534">
        <v>0</v>
      </c>
      <c r="P208" s="534">
        <v>0</v>
      </c>
      <c r="Q208" s="533">
        <v>0</v>
      </c>
      <c r="R208" s="534">
        <v>0</v>
      </c>
      <c r="S208" s="534">
        <v>0</v>
      </c>
      <c r="T208" s="534">
        <v>0</v>
      </c>
      <c r="U208" s="534">
        <v>3.5092426487793461E-2</v>
      </c>
      <c r="V208" s="535"/>
    </row>
    <row r="209" spans="1:22">
      <c r="A209" s="530"/>
      <c r="B209" s="536" t="s">
        <v>769</v>
      </c>
      <c r="C209" s="537">
        <v>-0.21306611748862364</v>
      </c>
      <c r="D209" s="538">
        <v>0</v>
      </c>
      <c r="E209" s="538">
        <v>0.20399724539164193</v>
      </c>
      <c r="F209" s="538">
        <v>0</v>
      </c>
      <c r="G209" s="538">
        <v>0</v>
      </c>
      <c r="H209" s="538">
        <v>0</v>
      </c>
      <c r="I209" s="538">
        <v>0</v>
      </c>
      <c r="J209" s="540">
        <v>3.765928362871318E-3</v>
      </c>
      <c r="K209" s="540">
        <v>0</v>
      </c>
      <c r="L209" s="538">
        <v>0</v>
      </c>
      <c r="M209" s="538">
        <v>0</v>
      </c>
      <c r="N209" s="538">
        <v>0</v>
      </c>
      <c r="O209" s="540">
        <v>0</v>
      </c>
      <c r="P209" s="540">
        <v>0</v>
      </c>
      <c r="Q209" s="538">
        <v>0</v>
      </c>
      <c r="R209" s="540">
        <v>0</v>
      </c>
      <c r="S209" s="540">
        <v>0</v>
      </c>
      <c r="T209" s="540">
        <v>0</v>
      </c>
      <c r="U209" s="540">
        <v>3.765928362871318E-3</v>
      </c>
      <c r="V209" s="535"/>
    </row>
    <row r="210" spans="1:22">
      <c r="A210" s="530"/>
      <c r="B210" s="508" t="s">
        <v>770</v>
      </c>
      <c r="C210" s="527">
        <v>0.21143158417069843</v>
      </c>
      <c r="D210" s="528">
        <v>0</v>
      </c>
      <c r="E210" s="528">
        <v>0.5049133189132291</v>
      </c>
      <c r="F210" s="528">
        <v>0.19116432700247729</v>
      </c>
      <c r="G210" s="528">
        <v>0</v>
      </c>
      <c r="H210" s="528">
        <v>0</v>
      </c>
      <c r="I210" s="528">
        <v>0</v>
      </c>
      <c r="J210" s="529">
        <v>0.35441690692862265</v>
      </c>
      <c r="K210" s="529">
        <v>0</v>
      </c>
      <c r="L210" s="528">
        <v>0</v>
      </c>
      <c r="M210" s="528">
        <v>0</v>
      </c>
      <c r="N210" s="528">
        <v>0</v>
      </c>
      <c r="O210" s="529">
        <v>0</v>
      </c>
      <c r="P210" s="529">
        <v>0</v>
      </c>
      <c r="Q210" s="528">
        <v>0</v>
      </c>
      <c r="R210" s="529">
        <v>0</v>
      </c>
      <c r="S210" s="529">
        <v>0</v>
      </c>
      <c r="T210" s="529">
        <v>0</v>
      </c>
      <c r="U210" s="529">
        <v>0.35441690692862265</v>
      </c>
      <c r="V210" s="535"/>
    </row>
    <row r="211" spans="1:22">
      <c r="A211" s="530"/>
      <c r="B211" s="531" t="s">
        <v>771</v>
      </c>
      <c r="C211" s="532">
        <v>0.23501365720417519</v>
      </c>
      <c r="D211" s="533">
        <v>0</v>
      </c>
      <c r="E211" s="533">
        <v>0.53611987789735094</v>
      </c>
      <c r="F211" s="533">
        <v>0.20689655172413793</v>
      </c>
      <c r="G211" s="533">
        <v>0</v>
      </c>
      <c r="H211" s="533">
        <v>0</v>
      </c>
      <c r="I211" s="533">
        <v>0</v>
      </c>
      <c r="J211" s="534">
        <v>0.3801045160283909</v>
      </c>
      <c r="K211" s="534">
        <v>0</v>
      </c>
      <c r="L211" s="533">
        <v>0</v>
      </c>
      <c r="M211" s="533">
        <v>0</v>
      </c>
      <c r="N211" s="533">
        <v>0</v>
      </c>
      <c r="O211" s="534">
        <v>0</v>
      </c>
      <c r="P211" s="534">
        <v>0</v>
      </c>
      <c r="Q211" s="533">
        <v>0</v>
      </c>
      <c r="R211" s="534">
        <v>0</v>
      </c>
      <c r="S211" s="534">
        <v>0</v>
      </c>
      <c r="T211" s="534">
        <v>0</v>
      </c>
      <c r="U211" s="534">
        <v>0.3801045160283909</v>
      </c>
      <c r="V211" s="535"/>
    </row>
    <row r="212" spans="1:22">
      <c r="A212" s="530"/>
      <c r="B212" s="536" t="s">
        <v>772</v>
      </c>
      <c r="C212" s="537">
        <v>2.358207303347676</v>
      </c>
      <c r="D212" s="538">
        <v>0</v>
      </c>
      <c r="E212" s="538">
        <v>3.1206558984121835</v>
      </c>
      <c r="F212" s="538">
        <v>1.5732224721660637</v>
      </c>
      <c r="G212" s="538">
        <v>0</v>
      </c>
      <c r="H212" s="538">
        <v>0</v>
      </c>
      <c r="I212" s="538">
        <v>0</v>
      </c>
      <c r="J212" s="540">
        <v>2.5687609099768247</v>
      </c>
      <c r="K212" s="540">
        <v>0</v>
      </c>
      <c r="L212" s="538">
        <v>0</v>
      </c>
      <c r="M212" s="538">
        <v>0</v>
      </c>
      <c r="N212" s="538">
        <v>0</v>
      </c>
      <c r="O212" s="540">
        <v>0</v>
      </c>
      <c r="P212" s="540">
        <v>0</v>
      </c>
      <c r="Q212" s="538">
        <v>0</v>
      </c>
      <c r="R212" s="540">
        <v>0</v>
      </c>
      <c r="S212" s="540">
        <v>0</v>
      </c>
      <c r="T212" s="540">
        <v>0</v>
      </c>
      <c r="U212" s="540">
        <v>2.5687609099768247</v>
      </c>
      <c r="V212" s="535"/>
    </row>
    <row r="213" spans="1:22">
      <c r="A213" s="530"/>
      <c r="B213" s="508" t="s">
        <v>773</v>
      </c>
      <c r="C213" s="527">
        <v>0</v>
      </c>
      <c r="D213" s="528">
        <v>0</v>
      </c>
      <c r="E213" s="528">
        <v>4.6469534855360364E-3</v>
      </c>
      <c r="F213" s="528">
        <v>0</v>
      </c>
      <c r="G213" s="528">
        <v>0</v>
      </c>
      <c r="H213" s="528">
        <v>0</v>
      </c>
      <c r="I213" s="528">
        <v>0</v>
      </c>
      <c r="J213" s="529">
        <v>2.2664450308818788E-3</v>
      </c>
      <c r="K213" s="529">
        <v>0</v>
      </c>
      <c r="L213" s="528">
        <v>0</v>
      </c>
      <c r="M213" s="528">
        <v>0</v>
      </c>
      <c r="N213" s="528">
        <v>0</v>
      </c>
      <c r="O213" s="529">
        <v>0</v>
      </c>
      <c r="P213" s="529">
        <v>0</v>
      </c>
      <c r="Q213" s="528">
        <v>0</v>
      </c>
      <c r="R213" s="529">
        <v>0</v>
      </c>
      <c r="S213" s="529">
        <v>0</v>
      </c>
      <c r="T213" s="529">
        <v>0</v>
      </c>
      <c r="U213" s="529">
        <v>2.2664450308818788E-3</v>
      </c>
      <c r="V213" s="535"/>
    </row>
    <row r="214" spans="1:22">
      <c r="A214" s="530"/>
      <c r="B214" s="531" t="s">
        <v>774</v>
      </c>
      <c r="C214" s="532">
        <v>0</v>
      </c>
      <c r="D214" s="533">
        <v>0</v>
      </c>
      <c r="E214" s="533">
        <v>6.5449089403973506E-3</v>
      </c>
      <c r="F214" s="533">
        <v>0</v>
      </c>
      <c r="G214" s="533">
        <v>0</v>
      </c>
      <c r="H214" s="533">
        <v>0</v>
      </c>
      <c r="I214" s="533">
        <v>0</v>
      </c>
      <c r="J214" s="534">
        <v>3.1573200218391701E-3</v>
      </c>
      <c r="K214" s="534">
        <v>0</v>
      </c>
      <c r="L214" s="533">
        <v>0</v>
      </c>
      <c r="M214" s="533">
        <v>0</v>
      </c>
      <c r="N214" s="533">
        <v>0</v>
      </c>
      <c r="O214" s="534">
        <v>0</v>
      </c>
      <c r="P214" s="534">
        <v>0</v>
      </c>
      <c r="Q214" s="533">
        <v>0</v>
      </c>
      <c r="R214" s="534">
        <v>0</v>
      </c>
      <c r="S214" s="534">
        <v>0</v>
      </c>
      <c r="T214" s="534">
        <v>0</v>
      </c>
      <c r="U214" s="534">
        <v>3.1573200218391701E-3</v>
      </c>
      <c r="V214" s="535"/>
    </row>
    <row r="215" spans="1:22">
      <c r="A215" s="530"/>
      <c r="B215" s="536" t="s">
        <v>775</v>
      </c>
      <c r="C215" s="537">
        <v>0</v>
      </c>
      <c r="D215" s="538">
        <v>0</v>
      </c>
      <c r="E215" s="538">
        <v>0.18979554548613142</v>
      </c>
      <c r="F215" s="538">
        <v>0</v>
      </c>
      <c r="G215" s="538">
        <v>0</v>
      </c>
      <c r="H215" s="538">
        <v>0</v>
      </c>
      <c r="I215" s="538">
        <v>0</v>
      </c>
      <c r="J215" s="540">
        <v>8.9087499095729134E-2</v>
      </c>
      <c r="K215" s="540">
        <v>0</v>
      </c>
      <c r="L215" s="538">
        <v>0</v>
      </c>
      <c r="M215" s="538">
        <v>0</v>
      </c>
      <c r="N215" s="538">
        <v>0</v>
      </c>
      <c r="O215" s="540">
        <v>0</v>
      </c>
      <c r="P215" s="540">
        <v>0</v>
      </c>
      <c r="Q215" s="538">
        <v>0</v>
      </c>
      <c r="R215" s="540">
        <v>0</v>
      </c>
      <c r="S215" s="540">
        <v>0</v>
      </c>
      <c r="T215" s="540">
        <v>0</v>
      </c>
      <c r="U215" s="540">
        <v>8.9087499095729134E-2</v>
      </c>
      <c r="V215" s="535"/>
    </row>
    <row r="216" spans="1:22">
      <c r="A216" s="530"/>
      <c r="B216" s="508" t="s">
        <v>776</v>
      </c>
      <c r="C216" s="527">
        <v>1.8235950874581318E-3</v>
      </c>
      <c r="D216" s="528">
        <v>0</v>
      </c>
      <c r="E216" s="528">
        <v>2.2849660785232446E-3</v>
      </c>
      <c r="F216" s="528">
        <v>0</v>
      </c>
      <c r="G216" s="528">
        <v>0</v>
      </c>
      <c r="H216" s="528">
        <v>0</v>
      </c>
      <c r="I216" s="528">
        <v>0</v>
      </c>
      <c r="J216" s="529">
        <v>2.0347918094933996E-3</v>
      </c>
      <c r="K216" s="529">
        <v>0</v>
      </c>
      <c r="L216" s="528">
        <v>0</v>
      </c>
      <c r="M216" s="528">
        <v>0</v>
      </c>
      <c r="N216" s="528">
        <v>0</v>
      </c>
      <c r="O216" s="529">
        <v>0</v>
      </c>
      <c r="P216" s="529">
        <v>0</v>
      </c>
      <c r="Q216" s="528">
        <v>0</v>
      </c>
      <c r="R216" s="529">
        <v>0</v>
      </c>
      <c r="S216" s="529">
        <v>0</v>
      </c>
      <c r="T216" s="529">
        <v>0</v>
      </c>
      <c r="U216" s="529">
        <v>2.0347918094933996E-3</v>
      </c>
      <c r="V216" s="535"/>
    </row>
    <row r="217" spans="1:22">
      <c r="A217" s="530"/>
      <c r="B217" s="531" t="s">
        <v>777</v>
      </c>
      <c r="C217" s="532">
        <v>1.7254414203492342E-3</v>
      </c>
      <c r="D217" s="533">
        <v>0</v>
      </c>
      <c r="E217" s="533">
        <v>5.82057119205298E-5</v>
      </c>
      <c r="F217" s="533">
        <v>0</v>
      </c>
      <c r="G217" s="533">
        <v>0</v>
      </c>
      <c r="H217" s="533">
        <v>0</v>
      </c>
      <c r="I217" s="533">
        <v>0</v>
      </c>
      <c r="J217" s="534">
        <v>9.1100538179549181E-4</v>
      </c>
      <c r="K217" s="534">
        <v>0</v>
      </c>
      <c r="L217" s="533">
        <v>0</v>
      </c>
      <c r="M217" s="533">
        <v>0</v>
      </c>
      <c r="N217" s="533">
        <v>0</v>
      </c>
      <c r="O217" s="534">
        <v>0</v>
      </c>
      <c r="P217" s="534">
        <v>0</v>
      </c>
      <c r="Q217" s="533">
        <v>0</v>
      </c>
      <c r="R217" s="534">
        <v>0</v>
      </c>
      <c r="S217" s="534">
        <v>0</v>
      </c>
      <c r="T217" s="534">
        <v>0</v>
      </c>
      <c r="U217" s="534">
        <v>9.1100538179549181E-4</v>
      </c>
      <c r="V217" s="535"/>
    </row>
    <row r="218" spans="1:22">
      <c r="A218" s="530"/>
      <c r="B218" s="536" t="s">
        <v>778</v>
      </c>
      <c r="C218" s="537">
        <v>-9.8153667108897558E-3</v>
      </c>
      <c r="D218" s="538">
        <v>0</v>
      </c>
      <c r="E218" s="538">
        <v>-0.22267603666027147</v>
      </c>
      <c r="F218" s="538">
        <v>0</v>
      </c>
      <c r="G218" s="538">
        <v>0</v>
      </c>
      <c r="H218" s="538">
        <v>0</v>
      </c>
      <c r="I218" s="538">
        <v>0</v>
      </c>
      <c r="J218" s="540">
        <v>-0.11237864276979077</v>
      </c>
      <c r="K218" s="540">
        <v>0</v>
      </c>
      <c r="L218" s="538">
        <v>0</v>
      </c>
      <c r="M218" s="538">
        <v>0</v>
      </c>
      <c r="N218" s="538">
        <v>0</v>
      </c>
      <c r="O218" s="540">
        <v>0</v>
      </c>
      <c r="P218" s="540">
        <v>0</v>
      </c>
      <c r="Q218" s="538">
        <v>0</v>
      </c>
      <c r="R218" s="540">
        <v>0</v>
      </c>
      <c r="S218" s="540">
        <v>0</v>
      </c>
      <c r="T218" s="540">
        <v>0</v>
      </c>
      <c r="U218" s="540">
        <v>-0.11237864276979077</v>
      </c>
      <c r="V218" s="535"/>
    </row>
    <row r="219" spans="1:22">
      <c r="A219" s="530"/>
      <c r="B219" s="508" t="s">
        <v>779</v>
      </c>
      <c r="C219" s="527">
        <v>0</v>
      </c>
      <c r="D219" s="528">
        <v>0</v>
      </c>
      <c r="E219" s="528">
        <v>0</v>
      </c>
      <c r="F219" s="528">
        <v>0</v>
      </c>
      <c r="G219" s="528">
        <v>0</v>
      </c>
      <c r="H219" s="528">
        <v>0</v>
      </c>
      <c r="I219" s="528">
        <v>0</v>
      </c>
      <c r="J219" s="529">
        <v>0</v>
      </c>
      <c r="K219" s="529">
        <v>0</v>
      </c>
      <c r="L219" s="528">
        <v>0</v>
      </c>
      <c r="M219" s="528">
        <v>0</v>
      </c>
      <c r="N219" s="528">
        <v>0</v>
      </c>
      <c r="O219" s="529">
        <v>0</v>
      </c>
      <c r="P219" s="529">
        <v>0</v>
      </c>
      <c r="Q219" s="528">
        <v>0</v>
      </c>
      <c r="R219" s="529">
        <v>0</v>
      </c>
      <c r="S219" s="529">
        <v>0</v>
      </c>
      <c r="T219" s="529">
        <v>0</v>
      </c>
      <c r="U219" s="529">
        <v>0</v>
      </c>
      <c r="V219" s="535"/>
    </row>
    <row r="220" spans="1:22">
      <c r="A220" s="530"/>
      <c r="B220" s="531" t="s">
        <v>780</v>
      </c>
      <c r="C220" s="532">
        <v>0</v>
      </c>
      <c r="D220" s="533">
        <v>0</v>
      </c>
      <c r="E220" s="533">
        <v>0</v>
      </c>
      <c r="F220" s="533">
        <v>0</v>
      </c>
      <c r="G220" s="533">
        <v>0</v>
      </c>
      <c r="H220" s="533">
        <v>0</v>
      </c>
      <c r="I220" s="533">
        <v>0</v>
      </c>
      <c r="J220" s="534">
        <v>0</v>
      </c>
      <c r="K220" s="534">
        <v>0</v>
      </c>
      <c r="L220" s="533">
        <v>0</v>
      </c>
      <c r="M220" s="533">
        <v>0</v>
      </c>
      <c r="N220" s="533">
        <v>0</v>
      </c>
      <c r="O220" s="534">
        <v>0</v>
      </c>
      <c r="P220" s="534">
        <v>0</v>
      </c>
      <c r="Q220" s="533">
        <v>0</v>
      </c>
      <c r="R220" s="534">
        <v>0</v>
      </c>
      <c r="S220" s="534">
        <v>0</v>
      </c>
      <c r="T220" s="534">
        <v>0</v>
      </c>
      <c r="U220" s="534">
        <v>0</v>
      </c>
      <c r="V220" s="535"/>
    </row>
    <row r="221" spans="1:22" ht="15.75" thickBot="1">
      <c r="A221" s="546"/>
      <c r="B221" s="547" t="s">
        <v>781</v>
      </c>
      <c r="C221" s="548">
        <v>0</v>
      </c>
      <c r="D221" s="549">
        <v>0</v>
      </c>
      <c r="E221" s="549">
        <v>0</v>
      </c>
      <c r="F221" s="549">
        <v>0</v>
      </c>
      <c r="G221" s="549">
        <v>0</v>
      </c>
      <c r="H221" s="549">
        <v>0</v>
      </c>
      <c r="I221" s="549">
        <v>0</v>
      </c>
      <c r="J221" s="550">
        <v>0</v>
      </c>
      <c r="K221" s="550">
        <v>0</v>
      </c>
      <c r="L221" s="549">
        <v>0</v>
      </c>
      <c r="M221" s="549">
        <v>0</v>
      </c>
      <c r="N221" s="549">
        <v>0</v>
      </c>
      <c r="O221" s="550">
        <v>0</v>
      </c>
      <c r="P221" s="550">
        <v>0</v>
      </c>
      <c r="Q221" s="549">
        <v>0</v>
      </c>
      <c r="R221" s="550">
        <v>0</v>
      </c>
      <c r="S221" s="550">
        <v>0</v>
      </c>
      <c r="T221" s="550">
        <v>0</v>
      </c>
      <c r="U221" s="550">
        <v>0</v>
      </c>
      <c r="V221" s="535"/>
    </row>
    <row r="222" spans="1:22">
      <c r="A222" s="526" t="s">
        <v>252</v>
      </c>
      <c r="B222" s="508" t="s">
        <v>746</v>
      </c>
      <c r="C222" s="527">
        <v>0.96910112359550571</v>
      </c>
      <c r="D222" s="528">
        <v>0.87776820581430626</v>
      </c>
      <c r="E222" s="528">
        <v>0.80361422086224965</v>
      </c>
      <c r="F222" s="528">
        <v>0.71315143115464752</v>
      </c>
      <c r="G222" s="528">
        <v>0.87707317073170721</v>
      </c>
      <c r="H222" s="528">
        <v>0.64480000000000004</v>
      </c>
      <c r="I222" s="528">
        <v>0</v>
      </c>
      <c r="J222" s="529">
        <v>0.84326126611231766</v>
      </c>
      <c r="K222" s="529">
        <v>0</v>
      </c>
      <c r="L222" s="528">
        <v>0.80120721247605386</v>
      </c>
      <c r="M222" s="528">
        <v>0.84076742200207</v>
      </c>
      <c r="N222" s="528">
        <v>0.71194757100958539</v>
      </c>
      <c r="O222" s="529">
        <v>0.79896506082261809</v>
      </c>
      <c r="P222" s="529">
        <v>0.8504968122215627</v>
      </c>
      <c r="Q222" s="528">
        <v>0</v>
      </c>
      <c r="R222" s="529">
        <v>0.8504968122215627</v>
      </c>
      <c r="S222" s="529">
        <v>0</v>
      </c>
      <c r="T222" s="529">
        <v>0</v>
      </c>
      <c r="U222" s="529">
        <v>0.8335474958213247</v>
      </c>
      <c r="V222" s="535"/>
    </row>
    <row r="223" spans="1:22">
      <c r="A223" s="530"/>
      <c r="B223" s="531" t="s">
        <v>747</v>
      </c>
      <c r="C223" s="532">
        <v>0.96402877697841716</v>
      </c>
      <c r="D223" s="533">
        <v>0.87177835651346647</v>
      </c>
      <c r="E223" s="533">
        <v>0.80504178027306994</v>
      </c>
      <c r="F223" s="533">
        <v>0.72404022869385209</v>
      </c>
      <c r="G223" s="533">
        <v>0.85860655737704905</v>
      </c>
      <c r="H223" s="533">
        <v>0.62472727272727302</v>
      </c>
      <c r="I223" s="533">
        <v>0</v>
      </c>
      <c r="J223" s="534">
        <v>0.84046850485491742</v>
      </c>
      <c r="K223" s="534">
        <v>0</v>
      </c>
      <c r="L223" s="533">
        <v>0.78126127260262324</v>
      </c>
      <c r="M223" s="533">
        <v>0.80118159497652353</v>
      </c>
      <c r="N223" s="533">
        <v>0.73416646713265354</v>
      </c>
      <c r="O223" s="534">
        <v>0.77871986602603194</v>
      </c>
      <c r="P223" s="534">
        <v>0.81208959974508432</v>
      </c>
      <c r="Q223" s="533">
        <v>0</v>
      </c>
      <c r="R223" s="534">
        <v>0.81208959974508432</v>
      </c>
      <c r="S223" s="534">
        <v>0</v>
      </c>
      <c r="T223" s="534">
        <v>0</v>
      </c>
      <c r="U223" s="534">
        <v>0.82422141795929638</v>
      </c>
      <c r="V223" s="535"/>
    </row>
    <row r="224" spans="1:22">
      <c r="A224" s="530"/>
      <c r="B224" s="536" t="s">
        <v>748</v>
      </c>
      <c r="C224" s="537">
        <v>-0.50723466170885523</v>
      </c>
      <c r="D224" s="538">
        <v>-0.59898493008397891</v>
      </c>
      <c r="E224" s="538">
        <v>0.14275594108202894</v>
      </c>
      <c r="F224" s="538">
        <v>1.0888797539204575</v>
      </c>
      <c r="G224" s="538">
        <v>-1.8466613354658157</v>
      </c>
      <c r="H224" s="538">
        <v>-2.007272727272702</v>
      </c>
      <c r="I224" s="538">
        <v>0</v>
      </c>
      <c r="J224" s="540">
        <v>-0.27927612574002447</v>
      </c>
      <c r="K224" s="540">
        <v>0</v>
      </c>
      <c r="L224" s="538">
        <v>-1.9945939873430629</v>
      </c>
      <c r="M224" s="538">
        <v>-3.9585827025546472</v>
      </c>
      <c r="N224" s="538">
        <v>2.2218896123068155</v>
      </c>
      <c r="O224" s="540">
        <v>-2.0245194796586152</v>
      </c>
      <c r="P224" s="540">
        <v>-3.8407212476478381</v>
      </c>
      <c r="Q224" s="538">
        <v>0</v>
      </c>
      <c r="R224" s="540">
        <v>-3.8407212476478381</v>
      </c>
      <c r="S224" s="540">
        <v>0</v>
      </c>
      <c r="T224" s="540">
        <v>0</v>
      </c>
      <c r="U224" s="540">
        <v>-0.93260778620283258</v>
      </c>
      <c r="V224" s="535"/>
    </row>
    <row r="225" spans="1:22">
      <c r="A225" s="530"/>
      <c r="B225" s="508" t="s">
        <v>749</v>
      </c>
      <c r="C225" s="527">
        <v>0</v>
      </c>
      <c r="D225" s="528">
        <v>0</v>
      </c>
      <c r="E225" s="528">
        <v>0</v>
      </c>
      <c r="F225" s="528">
        <v>0</v>
      </c>
      <c r="G225" s="528">
        <v>0</v>
      </c>
      <c r="H225" s="528">
        <v>0</v>
      </c>
      <c r="I225" s="528">
        <v>0</v>
      </c>
      <c r="J225" s="529">
        <v>0</v>
      </c>
      <c r="K225" s="529">
        <v>0</v>
      </c>
      <c r="L225" s="528">
        <v>0</v>
      </c>
      <c r="M225" s="528">
        <v>0</v>
      </c>
      <c r="N225" s="528">
        <v>0</v>
      </c>
      <c r="O225" s="529">
        <v>0</v>
      </c>
      <c r="P225" s="529">
        <v>0</v>
      </c>
      <c r="Q225" s="528">
        <v>0</v>
      </c>
      <c r="R225" s="529">
        <v>0</v>
      </c>
      <c r="S225" s="529">
        <v>0</v>
      </c>
      <c r="T225" s="529">
        <v>0</v>
      </c>
      <c r="U225" s="529">
        <v>0</v>
      </c>
      <c r="V225" s="535"/>
    </row>
    <row r="226" spans="1:22">
      <c r="A226" s="530"/>
      <c r="B226" s="531" t="s">
        <v>750</v>
      </c>
      <c r="C226" s="532">
        <v>0</v>
      </c>
      <c r="D226" s="533">
        <v>0</v>
      </c>
      <c r="E226" s="533">
        <v>0</v>
      </c>
      <c r="F226" s="533">
        <v>0</v>
      </c>
      <c r="G226" s="533">
        <v>0</v>
      </c>
      <c r="H226" s="533">
        <v>0</v>
      </c>
      <c r="I226" s="533">
        <v>0</v>
      </c>
      <c r="J226" s="534">
        <v>0</v>
      </c>
      <c r="K226" s="534">
        <v>0</v>
      </c>
      <c r="L226" s="533">
        <v>0</v>
      </c>
      <c r="M226" s="533">
        <v>0</v>
      </c>
      <c r="N226" s="533">
        <v>0</v>
      </c>
      <c r="O226" s="534">
        <v>0</v>
      </c>
      <c r="P226" s="534">
        <v>0</v>
      </c>
      <c r="Q226" s="533">
        <v>0</v>
      </c>
      <c r="R226" s="534">
        <v>0</v>
      </c>
      <c r="S226" s="534">
        <v>0</v>
      </c>
      <c r="T226" s="534">
        <v>0</v>
      </c>
      <c r="U226" s="534">
        <v>0</v>
      </c>
      <c r="V226" s="535"/>
    </row>
    <row r="227" spans="1:22">
      <c r="A227" s="530"/>
      <c r="B227" s="536" t="s">
        <v>751</v>
      </c>
      <c r="C227" s="537">
        <v>0</v>
      </c>
      <c r="D227" s="538">
        <v>0</v>
      </c>
      <c r="E227" s="538">
        <v>0</v>
      </c>
      <c r="F227" s="538">
        <v>0</v>
      </c>
      <c r="G227" s="538">
        <v>0</v>
      </c>
      <c r="H227" s="538">
        <v>0</v>
      </c>
      <c r="I227" s="538">
        <v>0</v>
      </c>
      <c r="J227" s="540">
        <v>0</v>
      </c>
      <c r="K227" s="540">
        <v>0</v>
      </c>
      <c r="L227" s="538">
        <v>0</v>
      </c>
      <c r="M227" s="538">
        <v>0</v>
      </c>
      <c r="N227" s="538">
        <v>0</v>
      </c>
      <c r="O227" s="540">
        <v>0</v>
      </c>
      <c r="P227" s="540">
        <v>0</v>
      </c>
      <c r="Q227" s="538">
        <v>0</v>
      </c>
      <c r="R227" s="540">
        <v>0</v>
      </c>
      <c r="S227" s="540">
        <v>0</v>
      </c>
      <c r="T227" s="540">
        <v>0</v>
      </c>
      <c r="U227" s="540">
        <v>0</v>
      </c>
      <c r="V227" s="535"/>
    </row>
    <row r="228" spans="1:22">
      <c r="A228" s="530"/>
      <c r="B228" s="508" t="s">
        <v>752</v>
      </c>
      <c r="C228" s="527">
        <v>3.0898876404494381E-2</v>
      </c>
      <c r="D228" s="528">
        <v>0.12223179418569372</v>
      </c>
      <c r="E228" s="528">
        <v>0.19638577913775032</v>
      </c>
      <c r="F228" s="528">
        <v>0.28684856884535248</v>
      </c>
      <c r="G228" s="528">
        <v>0.12292682926829281</v>
      </c>
      <c r="H228" s="528">
        <v>0.35520000000000002</v>
      </c>
      <c r="I228" s="528">
        <v>0</v>
      </c>
      <c r="J228" s="529">
        <v>0.1567387338876825</v>
      </c>
      <c r="K228" s="529">
        <v>0</v>
      </c>
      <c r="L228" s="528">
        <v>0.19879278752394611</v>
      </c>
      <c r="M228" s="528">
        <v>0.15923257799793006</v>
      </c>
      <c r="N228" s="528">
        <v>0.28805242899041456</v>
      </c>
      <c r="O228" s="529">
        <v>0.20103493917738183</v>
      </c>
      <c r="P228" s="529">
        <v>0.14950318777843735</v>
      </c>
      <c r="Q228" s="528">
        <v>0</v>
      </c>
      <c r="R228" s="529">
        <v>0.14950318777843735</v>
      </c>
      <c r="S228" s="529">
        <v>0</v>
      </c>
      <c r="T228" s="529">
        <v>0</v>
      </c>
      <c r="U228" s="529">
        <v>0.16645250417867549</v>
      </c>
      <c r="V228" s="535"/>
    </row>
    <row r="229" spans="1:22">
      <c r="A229" s="530"/>
      <c r="B229" s="531" t="s">
        <v>753</v>
      </c>
      <c r="C229" s="532">
        <v>3.5971223021582802E-2</v>
      </c>
      <c r="D229" s="533">
        <v>0.1282216434865335</v>
      </c>
      <c r="E229" s="533">
        <v>0.19495821972693</v>
      </c>
      <c r="F229" s="533">
        <v>0.27595977130614802</v>
      </c>
      <c r="G229" s="533">
        <v>0.14139344262295087</v>
      </c>
      <c r="H229" s="533">
        <v>0.37527272727272704</v>
      </c>
      <c r="I229" s="533">
        <v>0</v>
      </c>
      <c r="J229" s="534">
        <v>0.15953149514508252</v>
      </c>
      <c r="K229" s="534">
        <v>0</v>
      </c>
      <c r="L229" s="533">
        <v>0.21873872739737688</v>
      </c>
      <c r="M229" s="533">
        <v>0.19881840502347647</v>
      </c>
      <c r="N229" s="533">
        <v>0.26583353286734651</v>
      </c>
      <c r="O229" s="534">
        <v>0.22128013397396809</v>
      </c>
      <c r="P229" s="534">
        <v>0.18791040025491568</v>
      </c>
      <c r="Q229" s="533">
        <v>0</v>
      </c>
      <c r="R229" s="534">
        <v>0.18791040025491568</v>
      </c>
      <c r="S229" s="534">
        <v>0</v>
      </c>
      <c r="T229" s="534">
        <v>0</v>
      </c>
      <c r="U229" s="534">
        <v>0.17577858204070346</v>
      </c>
      <c r="V229" s="535"/>
    </row>
    <row r="230" spans="1:22">
      <c r="A230" s="530"/>
      <c r="B230" s="536" t="s">
        <v>754</v>
      </c>
      <c r="C230" s="537">
        <v>0.50723466170884202</v>
      </c>
      <c r="D230" s="538">
        <v>0.59898493008397891</v>
      </c>
      <c r="E230" s="538">
        <v>-0.14275594108203171</v>
      </c>
      <c r="F230" s="538">
        <v>-1.0888797539204464</v>
      </c>
      <c r="G230" s="538">
        <v>1.8466613354658059</v>
      </c>
      <c r="H230" s="538">
        <v>2.007272727272702</v>
      </c>
      <c r="I230" s="538">
        <v>0</v>
      </c>
      <c r="J230" s="540">
        <v>0.27927612574000227</v>
      </c>
      <c r="K230" s="540">
        <v>0</v>
      </c>
      <c r="L230" s="538">
        <v>1.9945939873430767</v>
      </c>
      <c r="M230" s="538">
        <v>3.9585827025546418</v>
      </c>
      <c r="N230" s="538">
        <v>-2.2218896123068044</v>
      </c>
      <c r="O230" s="540">
        <v>2.0245194796586263</v>
      </c>
      <c r="P230" s="540">
        <v>3.8407212476478323</v>
      </c>
      <c r="Q230" s="538">
        <v>0</v>
      </c>
      <c r="R230" s="540">
        <v>3.8407212476478323</v>
      </c>
      <c r="S230" s="540">
        <v>0</v>
      </c>
      <c r="T230" s="540">
        <v>0</v>
      </c>
      <c r="U230" s="540">
        <v>0.9326077862027965</v>
      </c>
      <c r="V230" s="535"/>
    </row>
    <row r="231" spans="1:22">
      <c r="A231" s="530"/>
      <c r="B231" s="508" t="s">
        <v>755</v>
      </c>
      <c r="C231" s="527">
        <v>0</v>
      </c>
      <c r="D231" s="528">
        <v>0</v>
      </c>
      <c r="E231" s="528">
        <v>0</v>
      </c>
      <c r="F231" s="528">
        <v>0</v>
      </c>
      <c r="G231" s="528">
        <v>0</v>
      </c>
      <c r="H231" s="528">
        <v>0</v>
      </c>
      <c r="I231" s="528">
        <v>0</v>
      </c>
      <c r="J231" s="529">
        <v>0</v>
      </c>
      <c r="K231" s="529">
        <v>0</v>
      </c>
      <c r="L231" s="528">
        <v>0</v>
      </c>
      <c r="M231" s="528">
        <v>0</v>
      </c>
      <c r="N231" s="528">
        <v>0</v>
      </c>
      <c r="O231" s="529">
        <v>0</v>
      </c>
      <c r="P231" s="529">
        <v>0</v>
      </c>
      <c r="Q231" s="528">
        <v>0</v>
      </c>
      <c r="R231" s="529">
        <v>0</v>
      </c>
      <c r="S231" s="529">
        <v>0</v>
      </c>
      <c r="T231" s="529">
        <v>0</v>
      </c>
      <c r="U231" s="529">
        <v>0</v>
      </c>
      <c r="V231" s="535"/>
    </row>
    <row r="232" spans="1:22">
      <c r="A232" s="530"/>
      <c r="B232" s="531" t="s">
        <v>756</v>
      </c>
      <c r="C232" s="532">
        <v>0</v>
      </c>
      <c r="D232" s="533">
        <v>0</v>
      </c>
      <c r="E232" s="533">
        <v>0</v>
      </c>
      <c r="F232" s="533">
        <v>0</v>
      </c>
      <c r="G232" s="533">
        <v>0</v>
      </c>
      <c r="H232" s="533">
        <v>0</v>
      </c>
      <c r="I232" s="533">
        <v>0</v>
      </c>
      <c r="J232" s="534">
        <v>0</v>
      </c>
      <c r="K232" s="534">
        <v>0</v>
      </c>
      <c r="L232" s="533">
        <v>0</v>
      </c>
      <c r="M232" s="533">
        <v>0</v>
      </c>
      <c r="N232" s="533">
        <v>0</v>
      </c>
      <c r="O232" s="534">
        <v>0</v>
      </c>
      <c r="P232" s="534">
        <v>0</v>
      </c>
      <c r="Q232" s="533">
        <v>0</v>
      </c>
      <c r="R232" s="534">
        <v>0</v>
      </c>
      <c r="S232" s="534">
        <v>0</v>
      </c>
      <c r="T232" s="534">
        <v>0</v>
      </c>
      <c r="U232" s="534">
        <v>0</v>
      </c>
      <c r="V232" s="535"/>
    </row>
    <row r="233" spans="1:22">
      <c r="A233" s="530"/>
      <c r="B233" s="536" t="s">
        <v>757</v>
      </c>
      <c r="C233" s="537">
        <v>0</v>
      </c>
      <c r="D233" s="538">
        <v>0</v>
      </c>
      <c r="E233" s="538">
        <v>0</v>
      </c>
      <c r="F233" s="538">
        <v>0</v>
      </c>
      <c r="G233" s="538">
        <v>0</v>
      </c>
      <c r="H233" s="538">
        <v>0</v>
      </c>
      <c r="I233" s="538">
        <v>0</v>
      </c>
      <c r="J233" s="540">
        <v>0</v>
      </c>
      <c r="K233" s="540">
        <v>0</v>
      </c>
      <c r="L233" s="538">
        <v>0</v>
      </c>
      <c r="M233" s="538">
        <v>0</v>
      </c>
      <c r="N233" s="538">
        <v>0</v>
      </c>
      <c r="O233" s="540">
        <v>0</v>
      </c>
      <c r="P233" s="540">
        <v>0</v>
      </c>
      <c r="Q233" s="538">
        <v>0</v>
      </c>
      <c r="R233" s="540">
        <v>0</v>
      </c>
      <c r="S233" s="540">
        <v>0</v>
      </c>
      <c r="T233" s="540">
        <v>0</v>
      </c>
      <c r="U233" s="540">
        <v>0</v>
      </c>
      <c r="V233" s="535"/>
    </row>
    <row r="234" spans="1:22">
      <c r="A234" s="530"/>
      <c r="B234" s="508" t="s">
        <v>758</v>
      </c>
      <c r="C234" s="527">
        <v>0</v>
      </c>
      <c r="D234" s="528">
        <v>0</v>
      </c>
      <c r="E234" s="528">
        <v>0</v>
      </c>
      <c r="F234" s="528">
        <v>0</v>
      </c>
      <c r="G234" s="528">
        <v>0</v>
      </c>
      <c r="H234" s="528">
        <v>0</v>
      </c>
      <c r="I234" s="528">
        <v>0</v>
      </c>
      <c r="J234" s="529">
        <v>0</v>
      </c>
      <c r="K234" s="529">
        <v>0</v>
      </c>
      <c r="L234" s="528">
        <v>0</v>
      </c>
      <c r="M234" s="528">
        <v>0</v>
      </c>
      <c r="N234" s="528">
        <v>0</v>
      </c>
      <c r="O234" s="529">
        <v>0</v>
      </c>
      <c r="P234" s="529">
        <v>0</v>
      </c>
      <c r="Q234" s="528">
        <v>0</v>
      </c>
      <c r="R234" s="529">
        <v>0</v>
      </c>
      <c r="S234" s="529">
        <v>0</v>
      </c>
      <c r="T234" s="529">
        <v>0</v>
      </c>
      <c r="U234" s="529">
        <v>0</v>
      </c>
      <c r="V234" s="535"/>
    </row>
    <row r="235" spans="1:22">
      <c r="A235" s="530"/>
      <c r="B235" s="531" t="s">
        <v>759</v>
      </c>
      <c r="C235" s="532">
        <v>0</v>
      </c>
      <c r="D235" s="533">
        <v>0</v>
      </c>
      <c r="E235" s="533">
        <v>0</v>
      </c>
      <c r="F235" s="533">
        <v>0</v>
      </c>
      <c r="G235" s="533">
        <v>0</v>
      </c>
      <c r="H235" s="533">
        <v>0</v>
      </c>
      <c r="I235" s="533">
        <v>0</v>
      </c>
      <c r="J235" s="534">
        <v>0</v>
      </c>
      <c r="K235" s="534">
        <v>0</v>
      </c>
      <c r="L235" s="533">
        <v>0</v>
      </c>
      <c r="M235" s="533">
        <v>0</v>
      </c>
      <c r="N235" s="533">
        <v>0</v>
      </c>
      <c r="O235" s="534">
        <v>0</v>
      </c>
      <c r="P235" s="534">
        <v>0</v>
      </c>
      <c r="Q235" s="533">
        <v>0</v>
      </c>
      <c r="R235" s="534">
        <v>0</v>
      </c>
      <c r="S235" s="534">
        <v>0</v>
      </c>
      <c r="T235" s="534">
        <v>0</v>
      </c>
      <c r="U235" s="534">
        <v>0</v>
      </c>
      <c r="V235" s="535"/>
    </row>
    <row r="236" spans="1:22">
      <c r="A236" s="530"/>
      <c r="B236" s="536" t="s">
        <v>760</v>
      </c>
      <c r="C236" s="537">
        <v>0</v>
      </c>
      <c r="D236" s="538">
        <v>0</v>
      </c>
      <c r="E236" s="538">
        <v>0</v>
      </c>
      <c r="F236" s="538">
        <v>0</v>
      </c>
      <c r="G236" s="538">
        <v>0</v>
      </c>
      <c r="H236" s="538">
        <v>0</v>
      </c>
      <c r="I236" s="538">
        <v>0</v>
      </c>
      <c r="J236" s="540">
        <v>0</v>
      </c>
      <c r="K236" s="540">
        <v>0</v>
      </c>
      <c r="L236" s="538">
        <v>0</v>
      </c>
      <c r="M236" s="538">
        <v>0</v>
      </c>
      <c r="N236" s="538">
        <v>0</v>
      </c>
      <c r="O236" s="540">
        <v>0</v>
      </c>
      <c r="P236" s="540">
        <v>0</v>
      </c>
      <c r="Q236" s="538">
        <v>0</v>
      </c>
      <c r="R236" s="540">
        <v>0</v>
      </c>
      <c r="S236" s="540">
        <v>0</v>
      </c>
      <c r="T236" s="540">
        <v>0</v>
      </c>
      <c r="U236" s="540">
        <v>0</v>
      </c>
      <c r="V236" s="535"/>
    </row>
    <row r="237" spans="1:22">
      <c r="A237" s="530"/>
      <c r="B237" s="508" t="s">
        <v>761</v>
      </c>
      <c r="C237" s="527">
        <v>0</v>
      </c>
      <c r="D237" s="528">
        <v>0</v>
      </c>
      <c r="E237" s="528">
        <v>0</v>
      </c>
      <c r="F237" s="528">
        <v>0</v>
      </c>
      <c r="G237" s="528">
        <v>0</v>
      </c>
      <c r="H237" s="528">
        <v>0</v>
      </c>
      <c r="I237" s="528">
        <v>0</v>
      </c>
      <c r="J237" s="529">
        <v>0</v>
      </c>
      <c r="K237" s="529">
        <v>0</v>
      </c>
      <c r="L237" s="528">
        <v>0</v>
      </c>
      <c r="M237" s="528">
        <v>0</v>
      </c>
      <c r="N237" s="528">
        <v>0</v>
      </c>
      <c r="O237" s="529">
        <v>0</v>
      </c>
      <c r="P237" s="529">
        <v>0</v>
      </c>
      <c r="Q237" s="528">
        <v>0</v>
      </c>
      <c r="R237" s="529">
        <v>0</v>
      </c>
      <c r="S237" s="529">
        <v>0</v>
      </c>
      <c r="T237" s="529">
        <v>0</v>
      </c>
      <c r="U237" s="529">
        <v>0</v>
      </c>
      <c r="V237" s="535"/>
    </row>
    <row r="238" spans="1:22">
      <c r="A238" s="530"/>
      <c r="B238" s="531" t="s">
        <v>762</v>
      </c>
      <c r="C238" s="532">
        <v>0</v>
      </c>
      <c r="D238" s="533">
        <v>0</v>
      </c>
      <c r="E238" s="533">
        <v>0</v>
      </c>
      <c r="F238" s="533">
        <v>0</v>
      </c>
      <c r="G238" s="533">
        <v>0</v>
      </c>
      <c r="H238" s="533">
        <v>0</v>
      </c>
      <c r="I238" s="533">
        <v>0</v>
      </c>
      <c r="J238" s="534">
        <v>0</v>
      </c>
      <c r="K238" s="534">
        <v>0</v>
      </c>
      <c r="L238" s="533">
        <v>0</v>
      </c>
      <c r="M238" s="533">
        <v>0</v>
      </c>
      <c r="N238" s="533">
        <v>0</v>
      </c>
      <c r="O238" s="534">
        <v>0</v>
      </c>
      <c r="P238" s="534">
        <v>0</v>
      </c>
      <c r="Q238" s="533">
        <v>0</v>
      </c>
      <c r="R238" s="534">
        <v>0</v>
      </c>
      <c r="S238" s="534">
        <v>0</v>
      </c>
      <c r="T238" s="534">
        <v>0</v>
      </c>
      <c r="U238" s="534">
        <v>0</v>
      </c>
      <c r="V238" s="535"/>
    </row>
    <row r="239" spans="1:22" ht="15.75" thickBot="1">
      <c r="A239" s="530"/>
      <c r="B239" s="542" t="s">
        <v>763</v>
      </c>
      <c r="C239" s="543">
        <v>0</v>
      </c>
      <c r="D239" s="544">
        <v>0</v>
      </c>
      <c r="E239" s="544">
        <v>0</v>
      </c>
      <c r="F239" s="544">
        <v>0</v>
      </c>
      <c r="G239" s="544">
        <v>0</v>
      </c>
      <c r="H239" s="544">
        <v>0</v>
      </c>
      <c r="I239" s="544">
        <v>0</v>
      </c>
      <c r="J239" s="545">
        <v>0</v>
      </c>
      <c r="K239" s="545">
        <v>0</v>
      </c>
      <c r="L239" s="544">
        <v>0</v>
      </c>
      <c r="M239" s="544">
        <v>0</v>
      </c>
      <c r="N239" s="544">
        <v>0</v>
      </c>
      <c r="O239" s="545">
        <v>0</v>
      </c>
      <c r="P239" s="545">
        <v>0</v>
      </c>
      <c r="Q239" s="544">
        <v>0</v>
      </c>
      <c r="R239" s="545">
        <v>0</v>
      </c>
      <c r="S239" s="545">
        <v>0</v>
      </c>
      <c r="T239" s="545">
        <v>0</v>
      </c>
      <c r="U239" s="545">
        <v>0</v>
      </c>
      <c r="V239" s="535"/>
    </row>
    <row r="240" spans="1:22" ht="15.75" thickTop="1">
      <c r="A240" s="530"/>
      <c r="B240" s="531" t="s">
        <v>764</v>
      </c>
      <c r="C240" s="532">
        <v>0.95658944909480226</v>
      </c>
      <c r="D240" s="533">
        <v>0.83188461673593506</v>
      </c>
      <c r="E240" s="533">
        <v>0.61226579653268387</v>
      </c>
      <c r="F240" s="533">
        <v>0.44195095810434037</v>
      </c>
      <c r="G240" s="533">
        <v>0.86111111111111116</v>
      </c>
      <c r="H240" s="533">
        <v>0</v>
      </c>
      <c r="I240" s="533">
        <v>0</v>
      </c>
      <c r="J240" s="534">
        <v>0.73789683272098372</v>
      </c>
      <c r="K240" s="534">
        <v>0</v>
      </c>
      <c r="L240" s="533">
        <v>0</v>
      </c>
      <c r="M240" s="533">
        <v>0</v>
      </c>
      <c r="N240" s="533">
        <v>0</v>
      </c>
      <c r="O240" s="534">
        <v>0</v>
      </c>
      <c r="P240" s="534">
        <v>0</v>
      </c>
      <c r="Q240" s="533">
        <v>0</v>
      </c>
      <c r="R240" s="534">
        <v>0</v>
      </c>
      <c r="S240" s="534">
        <v>0</v>
      </c>
      <c r="T240" s="534">
        <v>0</v>
      </c>
      <c r="U240" s="534">
        <v>0.73789683272098372</v>
      </c>
      <c r="V240" s="535"/>
    </row>
    <row r="241" spans="1:22">
      <c r="A241" s="530"/>
      <c r="B241" s="531" t="s">
        <v>765</v>
      </c>
      <c r="C241" s="532">
        <v>0.94141769185705904</v>
      </c>
      <c r="D241" s="533">
        <v>0.82276532530538404</v>
      </c>
      <c r="E241" s="533">
        <v>0.57942735342003415</v>
      </c>
      <c r="F241" s="533">
        <v>0.44201611940657132</v>
      </c>
      <c r="G241" s="533">
        <v>0.86637931034482718</v>
      </c>
      <c r="H241" s="533">
        <v>0</v>
      </c>
      <c r="I241" s="533">
        <v>0</v>
      </c>
      <c r="J241" s="534">
        <v>0.71341496193527565</v>
      </c>
      <c r="K241" s="534">
        <v>0</v>
      </c>
      <c r="L241" s="533">
        <v>0</v>
      </c>
      <c r="M241" s="533">
        <v>0</v>
      </c>
      <c r="N241" s="533">
        <v>0</v>
      </c>
      <c r="O241" s="534">
        <v>0</v>
      </c>
      <c r="P241" s="534">
        <v>0</v>
      </c>
      <c r="Q241" s="533">
        <v>0</v>
      </c>
      <c r="R241" s="534">
        <v>0</v>
      </c>
      <c r="S241" s="534">
        <v>0</v>
      </c>
      <c r="T241" s="534">
        <v>0</v>
      </c>
      <c r="U241" s="534">
        <v>0.71341496193527565</v>
      </c>
      <c r="V241" s="535"/>
    </row>
    <row r="242" spans="1:22">
      <c r="A242" s="530"/>
      <c r="B242" s="536" t="s">
        <v>766</v>
      </c>
      <c r="C242" s="537">
        <v>-1.5171757237743222</v>
      </c>
      <c r="D242" s="538">
        <v>-0.91192914305510131</v>
      </c>
      <c r="E242" s="538">
        <v>-3.2838443112649718</v>
      </c>
      <c r="F242" s="538">
        <v>6.5161302230942741E-3</v>
      </c>
      <c r="G242" s="538">
        <v>0.52681992337160199</v>
      </c>
      <c r="H242" s="538">
        <v>0</v>
      </c>
      <c r="I242" s="538">
        <v>0</v>
      </c>
      <c r="J242" s="540">
        <v>-2.4481870785708071</v>
      </c>
      <c r="K242" s="540">
        <v>0</v>
      </c>
      <c r="L242" s="538">
        <v>0</v>
      </c>
      <c r="M242" s="538">
        <v>0</v>
      </c>
      <c r="N242" s="538">
        <v>0</v>
      </c>
      <c r="O242" s="540">
        <v>0</v>
      </c>
      <c r="P242" s="540">
        <v>0</v>
      </c>
      <c r="Q242" s="538">
        <v>0</v>
      </c>
      <c r="R242" s="540">
        <v>0</v>
      </c>
      <c r="S242" s="540">
        <v>0</v>
      </c>
      <c r="T242" s="540">
        <v>0</v>
      </c>
      <c r="U242" s="540">
        <v>-2.4481870785708071</v>
      </c>
      <c r="V242" s="535"/>
    </row>
    <row r="243" spans="1:22">
      <c r="A243" s="530"/>
      <c r="B243" s="508" t="s">
        <v>767</v>
      </c>
      <c r="C243" s="527">
        <v>0</v>
      </c>
      <c r="D243" s="528">
        <v>0</v>
      </c>
      <c r="E243" s="528">
        <v>0</v>
      </c>
      <c r="F243" s="528">
        <v>0</v>
      </c>
      <c r="G243" s="528">
        <v>0</v>
      </c>
      <c r="H243" s="528">
        <v>0</v>
      </c>
      <c r="I243" s="528">
        <v>0</v>
      </c>
      <c r="J243" s="529">
        <v>0</v>
      </c>
      <c r="K243" s="529">
        <v>0</v>
      </c>
      <c r="L243" s="528">
        <v>0</v>
      </c>
      <c r="M243" s="528">
        <v>0</v>
      </c>
      <c r="N243" s="528">
        <v>0</v>
      </c>
      <c r="O243" s="529">
        <v>0</v>
      </c>
      <c r="P243" s="529">
        <v>0</v>
      </c>
      <c r="Q243" s="528">
        <v>0</v>
      </c>
      <c r="R243" s="529">
        <v>0</v>
      </c>
      <c r="S243" s="529">
        <v>0</v>
      </c>
      <c r="T243" s="529">
        <v>0</v>
      </c>
      <c r="U243" s="529">
        <v>0</v>
      </c>
      <c r="V243" s="535"/>
    </row>
    <row r="244" spans="1:22">
      <c r="A244" s="530"/>
      <c r="B244" s="531" t="s">
        <v>768</v>
      </c>
      <c r="C244" s="532">
        <v>0</v>
      </c>
      <c r="D244" s="533">
        <v>0</v>
      </c>
      <c r="E244" s="533">
        <v>0</v>
      </c>
      <c r="F244" s="533">
        <v>0</v>
      </c>
      <c r="G244" s="533">
        <v>0</v>
      </c>
      <c r="H244" s="533">
        <v>0</v>
      </c>
      <c r="I244" s="533">
        <v>0</v>
      </c>
      <c r="J244" s="534">
        <v>0</v>
      </c>
      <c r="K244" s="534">
        <v>0</v>
      </c>
      <c r="L244" s="533">
        <v>0</v>
      </c>
      <c r="M244" s="533">
        <v>0</v>
      </c>
      <c r="N244" s="533">
        <v>0</v>
      </c>
      <c r="O244" s="534">
        <v>0</v>
      </c>
      <c r="P244" s="534">
        <v>0</v>
      </c>
      <c r="Q244" s="533">
        <v>0</v>
      </c>
      <c r="R244" s="534">
        <v>0</v>
      </c>
      <c r="S244" s="534">
        <v>0</v>
      </c>
      <c r="T244" s="534">
        <v>0</v>
      </c>
      <c r="U244" s="534">
        <v>0</v>
      </c>
      <c r="V244" s="535"/>
    </row>
    <row r="245" spans="1:22">
      <c r="A245" s="530"/>
      <c r="B245" s="536" t="s">
        <v>769</v>
      </c>
      <c r="C245" s="537">
        <v>0</v>
      </c>
      <c r="D245" s="538">
        <v>0</v>
      </c>
      <c r="E245" s="538">
        <v>0</v>
      </c>
      <c r="F245" s="538">
        <v>0</v>
      </c>
      <c r="G245" s="538">
        <v>0</v>
      </c>
      <c r="H245" s="538">
        <v>0</v>
      </c>
      <c r="I245" s="538">
        <v>0</v>
      </c>
      <c r="J245" s="540">
        <v>0</v>
      </c>
      <c r="K245" s="540">
        <v>0</v>
      </c>
      <c r="L245" s="538">
        <v>0</v>
      </c>
      <c r="M245" s="538">
        <v>0</v>
      </c>
      <c r="N245" s="538">
        <v>0</v>
      </c>
      <c r="O245" s="540">
        <v>0</v>
      </c>
      <c r="P245" s="540">
        <v>0</v>
      </c>
      <c r="Q245" s="538">
        <v>0</v>
      </c>
      <c r="R245" s="540">
        <v>0</v>
      </c>
      <c r="S245" s="540">
        <v>0</v>
      </c>
      <c r="T245" s="540">
        <v>0</v>
      </c>
      <c r="U245" s="540">
        <v>0</v>
      </c>
      <c r="V245" s="535"/>
    </row>
    <row r="246" spans="1:22">
      <c r="A246" s="530"/>
      <c r="B246" s="508" t="s">
        <v>770</v>
      </c>
      <c r="C246" s="527">
        <v>4.341055090519777E-2</v>
      </c>
      <c r="D246" s="528">
        <v>0.16811538326406492</v>
      </c>
      <c r="E246" s="528">
        <v>0.38773420346731607</v>
      </c>
      <c r="F246" s="528">
        <v>0.55804904189565951</v>
      </c>
      <c r="G246" s="528">
        <v>0.1388888888888889</v>
      </c>
      <c r="H246" s="528">
        <v>0</v>
      </c>
      <c r="I246" s="528">
        <v>0</v>
      </c>
      <c r="J246" s="529">
        <v>0.26210316727901611</v>
      </c>
      <c r="K246" s="529">
        <v>0</v>
      </c>
      <c r="L246" s="528">
        <v>0</v>
      </c>
      <c r="M246" s="528">
        <v>0</v>
      </c>
      <c r="N246" s="528">
        <v>0</v>
      </c>
      <c r="O246" s="529">
        <v>0</v>
      </c>
      <c r="P246" s="529">
        <v>0</v>
      </c>
      <c r="Q246" s="528">
        <v>0</v>
      </c>
      <c r="R246" s="529">
        <v>0</v>
      </c>
      <c r="S246" s="529">
        <v>0</v>
      </c>
      <c r="T246" s="529">
        <v>0</v>
      </c>
      <c r="U246" s="529">
        <v>0.26210316727901611</v>
      </c>
      <c r="V246" s="535"/>
    </row>
    <row r="247" spans="1:22">
      <c r="A247" s="530"/>
      <c r="B247" s="531" t="s">
        <v>771</v>
      </c>
      <c r="C247" s="532">
        <v>5.8582308142940985E-2</v>
      </c>
      <c r="D247" s="533">
        <v>0.17723467469461615</v>
      </c>
      <c r="E247" s="533">
        <v>0.4205726465799659</v>
      </c>
      <c r="F247" s="533">
        <v>0.55798388059342874</v>
      </c>
      <c r="G247" s="533">
        <v>0.13362068965517288</v>
      </c>
      <c r="H247" s="533">
        <v>0</v>
      </c>
      <c r="I247" s="533">
        <v>0</v>
      </c>
      <c r="J247" s="534">
        <v>0.28658503806472413</v>
      </c>
      <c r="K247" s="534">
        <v>0</v>
      </c>
      <c r="L247" s="533">
        <v>0</v>
      </c>
      <c r="M247" s="533">
        <v>0</v>
      </c>
      <c r="N247" s="533">
        <v>0</v>
      </c>
      <c r="O247" s="534">
        <v>0</v>
      </c>
      <c r="P247" s="534">
        <v>0</v>
      </c>
      <c r="Q247" s="533">
        <v>0</v>
      </c>
      <c r="R247" s="534">
        <v>0</v>
      </c>
      <c r="S247" s="534">
        <v>0</v>
      </c>
      <c r="T247" s="534">
        <v>0</v>
      </c>
      <c r="U247" s="534">
        <v>0.28658503806472413</v>
      </c>
      <c r="V247" s="535"/>
    </row>
    <row r="248" spans="1:22">
      <c r="A248" s="530"/>
      <c r="B248" s="536" t="s">
        <v>772</v>
      </c>
      <c r="C248" s="537">
        <v>1.5171757237743215</v>
      </c>
      <c r="D248" s="538">
        <v>0.91192914305512351</v>
      </c>
      <c r="E248" s="538">
        <v>3.2838443112649829</v>
      </c>
      <c r="F248" s="538">
        <v>-6.5161302230776208E-3</v>
      </c>
      <c r="G248" s="538">
        <v>-0.52681992337160199</v>
      </c>
      <c r="H248" s="538">
        <v>0</v>
      </c>
      <c r="I248" s="538">
        <v>0</v>
      </c>
      <c r="J248" s="540">
        <v>2.4481870785708013</v>
      </c>
      <c r="K248" s="540">
        <v>0</v>
      </c>
      <c r="L248" s="538">
        <v>0</v>
      </c>
      <c r="M248" s="538">
        <v>0</v>
      </c>
      <c r="N248" s="538">
        <v>0</v>
      </c>
      <c r="O248" s="540">
        <v>0</v>
      </c>
      <c r="P248" s="540">
        <v>0</v>
      </c>
      <c r="Q248" s="538">
        <v>0</v>
      </c>
      <c r="R248" s="540">
        <v>0</v>
      </c>
      <c r="S248" s="540">
        <v>0</v>
      </c>
      <c r="T248" s="540">
        <v>0</v>
      </c>
      <c r="U248" s="540">
        <v>2.4481870785708013</v>
      </c>
      <c r="V248" s="535"/>
    </row>
    <row r="249" spans="1:22">
      <c r="A249" s="530"/>
      <c r="B249" s="508" t="s">
        <v>773</v>
      </c>
      <c r="C249" s="527">
        <v>0</v>
      </c>
      <c r="D249" s="528">
        <v>0</v>
      </c>
      <c r="E249" s="528">
        <v>0</v>
      </c>
      <c r="F249" s="528">
        <v>0</v>
      </c>
      <c r="G249" s="528">
        <v>0</v>
      </c>
      <c r="H249" s="528">
        <v>0</v>
      </c>
      <c r="I249" s="528">
        <v>0</v>
      </c>
      <c r="J249" s="529">
        <v>0</v>
      </c>
      <c r="K249" s="529">
        <v>0</v>
      </c>
      <c r="L249" s="528">
        <v>0</v>
      </c>
      <c r="M249" s="528">
        <v>0</v>
      </c>
      <c r="N249" s="528">
        <v>0</v>
      </c>
      <c r="O249" s="529">
        <v>0</v>
      </c>
      <c r="P249" s="529">
        <v>0</v>
      </c>
      <c r="Q249" s="528">
        <v>0</v>
      </c>
      <c r="R249" s="529">
        <v>0</v>
      </c>
      <c r="S249" s="529">
        <v>0</v>
      </c>
      <c r="T249" s="529">
        <v>0</v>
      </c>
      <c r="U249" s="529">
        <v>0</v>
      </c>
      <c r="V249" s="535"/>
    </row>
    <row r="250" spans="1:22">
      <c r="A250" s="530"/>
      <c r="B250" s="531" t="s">
        <v>774</v>
      </c>
      <c r="C250" s="532">
        <v>0</v>
      </c>
      <c r="D250" s="533">
        <v>0</v>
      </c>
      <c r="E250" s="533">
        <v>0</v>
      </c>
      <c r="F250" s="533">
        <v>0</v>
      </c>
      <c r="G250" s="533">
        <v>0</v>
      </c>
      <c r="H250" s="533">
        <v>0</v>
      </c>
      <c r="I250" s="533">
        <v>0</v>
      </c>
      <c r="J250" s="534">
        <v>0</v>
      </c>
      <c r="K250" s="534">
        <v>0</v>
      </c>
      <c r="L250" s="533">
        <v>0</v>
      </c>
      <c r="M250" s="533">
        <v>0</v>
      </c>
      <c r="N250" s="533">
        <v>0</v>
      </c>
      <c r="O250" s="534">
        <v>0</v>
      </c>
      <c r="P250" s="534">
        <v>0</v>
      </c>
      <c r="Q250" s="533">
        <v>0</v>
      </c>
      <c r="R250" s="534">
        <v>0</v>
      </c>
      <c r="S250" s="534">
        <v>0</v>
      </c>
      <c r="T250" s="534">
        <v>0</v>
      </c>
      <c r="U250" s="534">
        <v>0</v>
      </c>
      <c r="V250" s="535"/>
    </row>
    <row r="251" spans="1:22">
      <c r="A251" s="530"/>
      <c r="B251" s="536" t="s">
        <v>775</v>
      </c>
      <c r="C251" s="537">
        <v>0</v>
      </c>
      <c r="D251" s="538">
        <v>0</v>
      </c>
      <c r="E251" s="538">
        <v>0</v>
      </c>
      <c r="F251" s="538">
        <v>0</v>
      </c>
      <c r="G251" s="538">
        <v>0</v>
      </c>
      <c r="H251" s="538">
        <v>0</v>
      </c>
      <c r="I251" s="538">
        <v>0</v>
      </c>
      <c r="J251" s="540">
        <v>0</v>
      </c>
      <c r="K251" s="540">
        <v>0</v>
      </c>
      <c r="L251" s="538">
        <v>0</v>
      </c>
      <c r="M251" s="538">
        <v>0</v>
      </c>
      <c r="N251" s="538">
        <v>0</v>
      </c>
      <c r="O251" s="540">
        <v>0</v>
      </c>
      <c r="P251" s="540">
        <v>0</v>
      </c>
      <c r="Q251" s="538">
        <v>0</v>
      </c>
      <c r="R251" s="540">
        <v>0</v>
      </c>
      <c r="S251" s="540">
        <v>0</v>
      </c>
      <c r="T251" s="540">
        <v>0</v>
      </c>
      <c r="U251" s="540">
        <v>0</v>
      </c>
      <c r="V251" s="535"/>
    </row>
    <row r="252" spans="1:22">
      <c r="A252" s="530"/>
      <c r="B252" s="508" t="s">
        <v>776</v>
      </c>
      <c r="C252" s="527">
        <v>0</v>
      </c>
      <c r="D252" s="528">
        <v>0</v>
      </c>
      <c r="E252" s="528">
        <v>0</v>
      </c>
      <c r="F252" s="528">
        <v>0</v>
      </c>
      <c r="G252" s="528">
        <v>0</v>
      </c>
      <c r="H252" s="528">
        <v>0</v>
      </c>
      <c r="I252" s="528">
        <v>0</v>
      </c>
      <c r="J252" s="529">
        <v>0</v>
      </c>
      <c r="K252" s="529">
        <v>0</v>
      </c>
      <c r="L252" s="528">
        <v>0</v>
      </c>
      <c r="M252" s="528">
        <v>0</v>
      </c>
      <c r="N252" s="528">
        <v>0</v>
      </c>
      <c r="O252" s="529">
        <v>0</v>
      </c>
      <c r="P252" s="529">
        <v>0</v>
      </c>
      <c r="Q252" s="528">
        <v>0</v>
      </c>
      <c r="R252" s="529">
        <v>0</v>
      </c>
      <c r="S252" s="529">
        <v>0</v>
      </c>
      <c r="T252" s="529">
        <v>0</v>
      </c>
      <c r="U252" s="529">
        <v>0</v>
      </c>
      <c r="V252" s="535"/>
    </row>
    <row r="253" spans="1:22">
      <c r="A253" s="530"/>
      <c r="B253" s="531" t="s">
        <v>777</v>
      </c>
      <c r="C253" s="532">
        <v>0</v>
      </c>
      <c r="D253" s="533">
        <v>0</v>
      </c>
      <c r="E253" s="533">
        <v>0</v>
      </c>
      <c r="F253" s="533">
        <v>0</v>
      </c>
      <c r="G253" s="533">
        <v>0</v>
      </c>
      <c r="H253" s="533">
        <v>0</v>
      </c>
      <c r="I253" s="533">
        <v>0</v>
      </c>
      <c r="J253" s="534">
        <v>0</v>
      </c>
      <c r="K253" s="534">
        <v>0</v>
      </c>
      <c r="L253" s="533">
        <v>0</v>
      </c>
      <c r="M253" s="533">
        <v>0</v>
      </c>
      <c r="N253" s="533">
        <v>0</v>
      </c>
      <c r="O253" s="534">
        <v>0</v>
      </c>
      <c r="P253" s="534">
        <v>0</v>
      </c>
      <c r="Q253" s="533">
        <v>0</v>
      </c>
      <c r="R253" s="534">
        <v>0</v>
      </c>
      <c r="S253" s="534">
        <v>0</v>
      </c>
      <c r="T253" s="534">
        <v>0</v>
      </c>
      <c r="U253" s="534">
        <v>0</v>
      </c>
      <c r="V253" s="535"/>
    </row>
    <row r="254" spans="1:22">
      <c r="A254" s="530"/>
      <c r="B254" s="536" t="s">
        <v>778</v>
      </c>
      <c r="C254" s="537">
        <v>0</v>
      </c>
      <c r="D254" s="538">
        <v>0</v>
      </c>
      <c r="E254" s="538">
        <v>0</v>
      </c>
      <c r="F254" s="538">
        <v>0</v>
      </c>
      <c r="G254" s="538">
        <v>0</v>
      </c>
      <c r="H254" s="538">
        <v>0</v>
      </c>
      <c r="I254" s="538">
        <v>0</v>
      </c>
      <c r="J254" s="540">
        <v>0</v>
      </c>
      <c r="K254" s="540">
        <v>0</v>
      </c>
      <c r="L254" s="538">
        <v>0</v>
      </c>
      <c r="M254" s="538">
        <v>0</v>
      </c>
      <c r="N254" s="538">
        <v>0</v>
      </c>
      <c r="O254" s="540">
        <v>0</v>
      </c>
      <c r="P254" s="540">
        <v>0</v>
      </c>
      <c r="Q254" s="538">
        <v>0</v>
      </c>
      <c r="R254" s="540">
        <v>0</v>
      </c>
      <c r="S254" s="540">
        <v>0</v>
      </c>
      <c r="T254" s="540">
        <v>0</v>
      </c>
      <c r="U254" s="540">
        <v>0</v>
      </c>
      <c r="V254" s="535"/>
    </row>
    <row r="255" spans="1:22">
      <c r="A255" s="530"/>
      <c r="B255" s="508" t="s">
        <v>779</v>
      </c>
      <c r="C255" s="527">
        <v>0</v>
      </c>
      <c r="D255" s="528">
        <v>0</v>
      </c>
      <c r="E255" s="528">
        <v>0</v>
      </c>
      <c r="F255" s="528">
        <v>0</v>
      </c>
      <c r="G255" s="528">
        <v>0</v>
      </c>
      <c r="H255" s="528">
        <v>0</v>
      </c>
      <c r="I255" s="528">
        <v>0</v>
      </c>
      <c r="J255" s="529">
        <v>0</v>
      </c>
      <c r="K255" s="529">
        <v>0</v>
      </c>
      <c r="L255" s="528">
        <v>0</v>
      </c>
      <c r="M255" s="528">
        <v>0</v>
      </c>
      <c r="N255" s="528">
        <v>0</v>
      </c>
      <c r="O255" s="529">
        <v>0</v>
      </c>
      <c r="P255" s="529">
        <v>0</v>
      </c>
      <c r="Q255" s="528">
        <v>0</v>
      </c>
      <c r="R255" s="529">
        <v>0</v>
      </c>
      <c r="S255" s="529">
        <v>0</v>
      </c>
      <c r="T255" s="529">
        <v>0</v>
      </c>
      <c r="U255" s="529">
        <v>0</v>
      </c>
      <c r="V255" s="535"/>
    </row>
    <row r="256" spans="1:22">
      <c r="A256" s="530"/>
      <c r="B256" s="531" t="s">
        <v>780</v>
      </c>
      <c r="C256" s="532">
        <v>0</v>
      </c>
      <c r="D256" s="533">
        <v>0</v>
      </c>
      <c r="E256" s="533">
        <v>0</v>
      </c>
      <c r="F256" s="533">
        <v>0</v>
      </c>
      <c r="G256" s="533">
        <v>0</v>
      </c>
      <c r="H256" s="533">
        <v>0</v>
      </c>
      <c r="I256" s="533">
        <v>0</v>
      </c>
      <c r="J256" s="534">
        <v>0</v>
      </c>
      <c r="K256" s="534">
        <v>0</v>
      </c>
      <c r="L256" s="533">
        <v>0</v>
      </c>
      <c r="M256" s="533">
        <v>0</v>
      </c>
      <c r="N256" s="533">
        <v>0</v>
      </c>
      <c r="O256" s="534">
        <v>0</v>
      </c>
      <c r="P256" s="534">
        <v>0</v>
      </c>
      <c r="Q256" s="533">
        <v>0</v>
      </c>
      <c r="R256" s="534">
        <v>0</v>
      </c>
      <c r="S256" s="534">
        <v>0</v>
      </c>
      <c r="T256" s="534">
        <v>0</v>
      </c>
      <c r="U256" s="534">
        <v>0</v>
      </c>
      <c r="V256" s="535"/>
    </row>
    <row r="257" spans="1:22" ht="15.75" thickBot="1">
      <c r="A257" s="546"/>
      <c r="B257" s="547" t="s">
        <v>781</v>
      </c>
      <c r="C257" s="548">
        <v>0</v>
      </c>
      <c r="D257" s="549">
        <v>0</v>
      </c>
      <c r="E257" s="549">
        <v>0</v>
      </c>
      <c r="F257" s="549">
        <v>0</v>
      </c>
      <c r="G257" s="549">
        <v>0</v>
      </c>
      <c r="H257" s="549">
        <v>0</v>
      </c>
      <c r="I257" s="549">
        <v>0</v>
      </c>
      <c r="J257" s="550">
        <v>0</v>
      </c>
      <c r="K257" s="550">
        <v>0</v>
      </c>
      <c r="L257" s="549">
        <v>0</v>
      </c>
      <c r="M257" s="549">
        <v>0</v>
      </c>
      <c r="N257" s="549">
        <v>0</v>
      </c>
      <c r="O257" s="550">
        <v>0</v>
      </c>
      <c r="P257" s="550">
        <v>0</v>
      </c>
      <c r="Q257" s="549">
        <v>0</v>
      </c>
      <c r="R257" s="550">
        <v>0</v>
      </c>
      <c r="S257" s="550">
        <v>0</v>
      </c>
      <c r="T257" s="550">
        <v>0</v>
      </c>
      <c r="U257" s="550">
        <v>0</v>
      </c>
      <c r="V257" s="535"/>
    </row>
    <row r="258" spans="1:22">
      <c r="A258" s="526" t="s">
        <v>283</v>
      </c>
      <c r="B258" s="508" t="s">
        <v>746</v>
      </c>
      <c r="C258" s="527">
        <v>0.93844161172161167</v>
      </c>
      <c r="D258" s="528">
        <v>0.87185261574734352</v>
      </c>
      <c r="E258" s="528">
        <v>0.84567820539636063</v>
      </c>
      <c r="F258" s="528">
        <v>0.83726168573294479</v>
      </c>
      <c r="G258" s="528">
        <v>0.76907722772277232</v>
      </c>
      <c r="H258" s="528">
        <v>1</v>
      </c>
      <c r="I258" s="528">
        <v>1.4005240093331503E-2</v>
      </c>
      <c r="J258" s="529">
        <v>0.67657455109783993</v>
      </c>
      <c r="K258" s="529">
        <v>0</v>
      </c>
      <c r="L258" s="528">
        <v>0.66627370281934062</v>
      </c>
      <c r="M258" s="528">
        <v>0.67982515747203154</v>
      </c>
      <c r="N258" s="528">
        <v>0.71038074628806547</v>
      </c>
      <c r="O258" s="529">
        <v>0.67131552450775744</v>
      </c>
      <c r="P258" s="529">
        <v>0</v>
      </c>
      <c r="Q258" s="528">
        <v>0</v>
      </c>
      <c r="R258" s="529">
        <v>0</v>
      </c>
      <c r="S258" s="529">
        <v>0</v>
      </c>
      <c r="T258" s="529">
        <v>0</v>
      </c>
      <c r="U258" s="529">
        <v>0.67430295171300925</v>
      </c>
      <c r="V258" s="535"/>
    </row>
    <row r="259" spans="1:22">
      <c r="A259" s="530"/>
      <c r="B259" s="531" t="s">
        <v>747</v>
      </c>
      <c r="C259" s="532">
        <v>0.93571228510385152</v>
      </c>
      <c r="D259" s="533">
        <v>0.87504876107851703</v>
      </c>
      <c r="E259" s="533">
        <v>0.85349777304241037</v>
      </c>
      <c r="F259" s="533">
        <v>0.80634646599984616</v>
      </c>
      <c r="G259" s="533">
        <v>0.78742607145750632</v>
      </c>
      <c r="H259" s="533">
        <v>0.99850266712418501</v>
      </c>
      <c r="I259" s="533">
        <v>1.3672944769962583E-2</v>
      </c>
      <c r="J259" s="534">
        <v>0.66938852658013293</v>
      </c>
      <c r="K259" s="534">
        <v>0</v>
      </c>
      <c r="L259" s="533">
        <v>0.65370143326563301</v>
      </c>
      <c r="M259" s="533">
        <v>0.66891720457922255</v>
      </c>
      <c r="N259" s="533">
        <v>0.67390489153079081</v>
      </c>
      <c r="O259" s="534">
        <v>0.65770702048154961</v>
      </c>
      <c r="P259" s="534">
        <v>0</v>
      </c>
      <c r="Q259" s="533">
        <v>0</v>
      </c>
      <c r="R259" s="534">
        <v>0</v>
      </c>
      <c r="S259" s="534">
        <v>0</v>
      </c>
      <c r="T259" s="534">
        <v>0</v>
      </c>
      <c r="U259" s="534">
        <v>0.66446370752108586</v>
      </c>
      <c r="V259" s="535"/>
    </row>
    <row r="260" spans="1:22" s="553" customFormat="1">
      <c r="A260" s="530"/>
      <c r="B260" s="536" t="s">
        <v>748</v>
      </c>
      <c r="C260" s="537">
        <v>-0.27293266177601527</v>
      </c>
      <c r="D260" s="538">
        <v>0.31961453311735166</v>
      </c>
      <c r="E260" s="538">
        <v>0.7819567646049741</v>
      </c>
      <c r="F260" s="538">
        <v>-3.0915219733098631</v>
      </c>
      <c r="G260" s="538">
        <v>1.8348843734733999</v>
      </c>
      <c r="H260" s="538">
        <v>-0.1497332875814994</v>
      </c>
      <c r="I260" s="538">
        <v>-3.3229532336892E-2</v>
      </c>
      <c r="J260" s="540">
        <v>-0.71860245177070015</v>
      </c>
      <c r="K260" s="540">
        <v>0</v>
      </c>
      <c r="L260" s="538">
        <v>-1.2572269553707605</v>
      </c>
      <c r="M260" s="538">
        <v>-1.0907952892808992</v>
      </c>
      <c r="N260" s="538">
        <v>-3.6475854757274662</v>
      </c>
      <c r="O260" s="540">
        <v>-1.3608504026207835</v>
      </c>
      <c r="P260" s="540">
        <v>0</v>
      </c>
      <c r="Q260" s="538">
        <v>0</v>
      </c>
      <c r="R260" s="540">
        <v>0</v>
      </c>
      <c r="S260" s="540">
        <v>0</v>
      </c>
      <c r="T260" s="540">
        <v>0</v>
      </c>
      <c r="U260" s="540">
        <v>-0.98392441919233908</v>
      </c>
      <c r="V260" s="535"/>
    </row>
    <row r="261" spans="1:22">
      <c r="A261" s="530"/>
      <c r="B261" s="508" t="s">
        <v>749</v>
      </c>
      <c r="C261" s="527">
        <v>1.9421538461538462E-2</v>
      </c>
      <c r="D261" s="528">
        <v>1.5616491365949307E-2</v>
      </c>
      <c r="E261" s="528">
        <v>2.0800107195147459E-2</v>
      </c>
      <c r="F261" s="528">
        <v>1.2941992930500305E-2</v>
      </c>
      <c r="G261" s="528">
        <v>2.4776237623762375E-2</v>
      </c>
      <c r="H261" s="528">
        <v>0</v>
      </c>
      <c r="I261" s="528">
        <v>6.3720564302660737E-2</v>
      </c>
      <c r="J261" s="529">
        <v>2.8233656939148453E-2</v>
      </c>
      <c r="K261" s="529">
        <v>0</v>
      </c>
      <c r="L261" s="528">
        <v>0.16479633873683622</v>
      </c>
      <c r="M261" s="528">
        <v>5.6288260645028794E-2</v>
      </c>
      <c r="N261" s="528">
        <v>6.0457935854303445E-2</v>
      </c>
      <c r="O261" s="529">
        <v>0.13852347066190876</v>
      </c>
      <c r="P261" s="529">
        <v>0</v>
      </c>
      <c r="Q261" s="528">
        <v>0</v>
      </c>
      <c r="R261" s="529">
        <v>0</v>
      </c>
      <c r="S261" s="529">
        <v>0</v>
      </c>
      <c r="T261" s="529">
        <v>0</v>
      </c>
      <c r="U261" s="529">
        <v>7.5872562868654056E-2</v>
      </c>
      <c r="V261" s="535"/>
    </row>
    <row r="262" spans="1:22">
      <c r="A262" s="530"/>
      <c r="B262" s="531" t="s">
        <v>750</v>
      </c>
      <c r="C262" s="532">
        <v>1.7409278930397606E-2</v>
      </c>
      <c r="D262" s="533">
        <v>1.4400121707651979E-2</v>
      </c>
      <c r="E262" s="533">
        <v>1.7245881873047229E-2</v>
      </c>
      <c r="F262" s="533">
        <v>1.7123537197977681E-2</v>
      </c>
      <c r="G262" s="533">
        <v>7.2915822733533181E-4</v>
      </c>
      <c r="H262" s="533">
        <v>0</v>
      </c>
      <c r="I262" s="533">
        <v>5.8282731134636744E-2</v>
      </c>
      <c r="J262" s="534">
        <v>2.6181659546404962E-2</v>
      </c>
      <c r="K262" s="534">
        <v>0</v>
      </c>
      <c r="L262" s="533">
        <v>0.16296533660276416</v>
      </c>
      <c r="M262" s="533">
        <v>7.3853000869757476E-2</v>
      </c>
      <c r="N262" s="533">
        <v>6.4102386044832094E-2</v>
      </c>
      <c r="O262" s="534">
        <v>0.1405982651039091</v>
      </c>
      <c r="P262" s="534">
        <v>0</v>
      </c>
      <c r="Q262" s="533">
        <v>0</v>
      </c>
      <c r="R262" s="534">
        <v>0</v>
      </c>
      <c r="S262" s="534">
        <v>0</v>
      </c>
      <c r="T262" s="534">
        <v>0</v>
      </c>
      <c r="U262" s="534">
        <v>7.4418682663603922E-2</v>
      </c>
      <c r="V262" s="535"/>
    </row>
    <row r="263" spans="1:22" s="553" customFormat="1">
      <c r="A263" s="530"/>
      <c r="B263" s="536" t="s">
        <v>751</v>
      </c>
      <c r="C263" s="537">
        <v>-0.20122595311408559</v>
      </c>
      <c r="D263" s="538">
        <v>-0.12163696582973282</v>
      </c>
      <c r="E263" s="538">
        <v>-0.35542253221002296</v>
      </c>
      <c r="F263" s="538">
        <v>0.41815442674773762</v>
      </c>
      <c r="G263" s="538">
        <v>-2.4047079396427042</v>
      </c>
      <c r="H263" s="538">
        <v>0</v>
      </c>
      <c r="I263" s="538">
        <v>-0.54378331680239933</v>
      </c>
      <c r="J263" s="540">
        <v>-0.20519973927434904</v>
      </c>
      <c r="K263" s="540">
        <v>0</v>
      </c>
      <c r="L263" s="538">
        <v>-0.18310021340720573</v>
      </c>
      <c r="M263" s="538">
        <v>1.7564740224728683</v>
      </c>
      <c r="N263" s="538">
        <v>0.36444501905286486</v>
      </c>
      <c r="O263" s="540">
        <v>0.20747944420003439</v>
      </c>
      <c r="P263" s="540">
        <v>0</v>
      </c>
      <c r="Q263" s="538">
        <v>0</v>
      </c>
      <c r="R263" s="540">
        <v>0</v>
      </c>
      <c r="S263" s="540">
        <v>0</v>
      </c>
      <c r="T263" s="540">
        <v>0</v>
      </c>
      <c r="U263" s="540">
        <v>-0.14538802050501343</v>
      </c>
      <c r="V263" s="535"/>
    </row>
    <row r="264" spans="1:22">
      <c r="A264" s="530"/>
      <c r="B264" s="508" t="s">
        <v>752</v>
      </c>
      <c r="C264" s="527">
        <v>4.1215531135531135E-2</v>
      </c>
      <c r="D264" s="528">
        <v>0.11253089288670713</v>
      </c>
      <c r="E264" s="528">
        <v>0.13335991424388202</v>
      </c>
      <c r="F264" s="528">
        <v>0.14005316618439698</v>
      </c>
      <c r="G264" s="528">
        <v>0.20614653465346536</v>
      </c>
      <c r="H264" s="528">
        <v>0</v>
      </c>
      <c r="I264" s="528">
        <v>0.92227419560400781</v>
      </c>
      <c r="J264" s="529">
        <v>0.29329600753372492</v>
      </c>
      <c r="K264" s="529">
        <v>0</v>
      </c>
      <c r="L264" s="528">
        <v>0.16872647716410091</v>
      </c>
      <c r="M264" s="528">
        <v>0.25961820142124992</v>
      </c>
      <c r="N264" s="528">
        <v>0.22033870048114274</v>
      </c>
      <c r="O264" s="529">
        <v>0.18870642640305424</v>
      </c>
      <c r="P264" s="529">
        <v>0</v>
      </c>
      <c r="Q264" s="528">
        <v>0</v>
      </c>
      <c r="R264" s="529">
        <v>0</v>
      </c>
      <c r="S264" s="529">
        <v>0</v>
      </c>
      <c r="T264" s="529">
        <v>0</v>
      </c>
      <c r="U264" s="529">
        <v>0.24811927680485454</v>
      </c>
      <c r="V264" s="535"/>
    </row>
    <row r="265" spans="1:22">
      <c r="A265" s="530"/>
      <c r="B265" s="531" t="s">
        <v>753</v>
      </c>
      <c r="C265" s="532">
        <v>4.5770825279911852E-2</v>
      </c>
      <c r="D265" s="533">
        <v>0.11055111721383098</v>
      </c>
      <c r="E265" s="533">
        <v>0.12925634508454237</v>
      </c>
      <c r="F265" s="533">
        <v>0.16279352177556133</v>
      </c>
      <c r="G265" s="533">
        <v>0.21184477031515839</v>
      </c>
      <c r="H265" s="533">
        <v>1.4973328758149545E-3</v>
      </c>
      <c r="I265" s="533">
        <v>0.92803426871985606</v>
      </c>
      <c r="J265" s="534">
        <v>0.30222798583786481</v>
      </c>
      <c r="K265" s="534">
        <v>0</v>
      </c>
      <c r="L265" s="533">
        <v>0.18303704116510625</v>
      </c>
      <c r="M265" s="533">
        <v>0.25507656157389563</v>
      </c>
      <c r="N265" s="533">
        <v>0.25491653009638621</v>
      </c>
      <c r="O265" s="534">
        <v>0.2006675722610676</v>
      </c>
      <c r="P265" s="534">
        <v>0</v>
      </c>
      <c r="Q265" s="533">
        <v>0</v>
      </c>
      <c r="R265" s="534">
        <v>0</v>
      </c>
      <c r="S265" s="534">
        <v>0</v>
      </c>
      <c r="T265" s="534">
        <v>0</v>
      </c>
      <c r="U265" s="534">
        <v>0.25941101889827051</v>
      </c>
      <c r="V265" s="535"/>
    </row>
    <row r="266" spans="1:22" s="553" customFormat="1">
      <c r="A266" s="530"/>
      <c r="B266" s="536" t="s">
        <v>754</v>
      </c>
      <c r="C266" s="537">
        <v>0.45552941443807171</v>
      </c>
      <c r="D266" s="538">
        <v>-0.19797756728761468</v>
      </c>
      <c r="E266" s="538">
        <v>-0.41035691593396539</v>
      </c>
      <c r="F266" s="538">
        <v>2.2740355591164358</v>
      </c>
      <c r="G266" s="538">
        <v>0.56982356616930296</v>
      </c>
      <c r="H266" s="538">
        <v>0</v>
      </c>
      <c r="I266" s="538">
        <v>0.57600731158482521</v>
      </c>
      <c r="J266" s="540">
        <v>0.8931978304139887</v>
      </c>
      <c r="K266" s="540">
        <v>0</v>
      </c>
      <c r="L266" s="538">
        <v>1.4310564001005333</v>
      </c>
      <c r="M266" s="538">
        <v>-0.45416398473542841</v>
      </c>
      <c r="N266" s="538">
        <v>3.4577829615243472</v>
      </c>
      <c r="O266" s="540">
        <v>1.196114585801336</v>
      </c>
      <c r="P266" s="540">
        <v>0</v>
      </c>
      <c r="Q266" s="538">
        <v>0</v>
      </c>
      <c r="R266" s="540">
        <v>0</v>
      </c>
      <c r="S266" s="540">
        <v>0</v>
      </c>
      <c r="T266" s="540">
        <v>0</v>
      </c>
      <c r="U266" s="540">
        <v>1.1291742093415964</v>
      </c>
      <c r="V266" s="535"/>
    </row>
    <row r="267" spans="1:22">
      <c r="A267" s="530"/>
      <c r="B267" s="508" t="s">
        <v>755</v>
      </c>
      <c r="C267" s="527">
        <v>9.2131868131868134E-4</v>
      </c>
      <c r="D267" s="528">
        <v>0</v>
      </c>
      <c r="E267" s="528">
        <v>1.6177316460991425E-4</v>
      </c>
      <c r="F267" s="528">
        <v>9.7431551521579372E-3</v>
      </c>
      <c r="G267" s="528">
        <v>0</v>
      </c>
      <c r="H267" s="528">
        <v>0</v>
      </c>
      <c r="I267" s="528">
        <v>0</v>
      </c>
      <c r="J267" s="529">
        <v>1.8957844292867238E-3</v>
      </c>
      <c r="K267" s="529">
        <v>0</v>
      </c>
      <c r="L267" s="528">
        <v>2.0348127972226555E-4</v>
      </c>
      <c r="M267" s="528">
        <v>4.1455638540656824E-3</v>
      </c>
      <c r="N267" s="528">
        <v>8.8226173764883575E-3</v>
      </c>
      <c r="O267" s="529">
        <v>1.4315318599902147E-3</v>
      </c>
      <c r="P267" s="529">
        <v>0</v>
      </c>
      <c r="Q267" s="528">
        <v>0</v>
      </c>
      <c r="R267" s="529">
        <v>0</v>
      </c>
      <c r="S267" s="529">
        <v>0</v>
      </c>
      <c r="T267" s="529">
        <v>0</v>
      </c>
      <c r="U267" s="529">
        <v>1.6952538115467869E-3</v>
      </c>
      <c r="V267" s="535"/>
    </row>
    <row r="268" spans="1:22">
      <c r="A268" s="530"/>
      <c r="B268" s="531" t="s">
        <v>756</v>
      </c>
      <c r="C268" s="532">
        <v>1.1076106858390179E-3</v>
      </c>
      <c r="D268" s="533">
        <v>0</v>
      </c>
      <c r="E268" s="533">
        <v>0</v>
      </c>
      <c r="F268" s="533">
        <v>1.37364750266148E-2</v>
      </c>
      <c r="G268" s="533">
        <v>0</v>
      </c>
      <c r="H268" s="533">
        <v>0</v>
      </c>
      <c r="I268" s="533">
        <v>1.0055375544616884E-5</v>
      </c>
      <c r="J268" s="534">
        <v>2.2018280355973322E-3</v>
      </c>
      <c r="K268" s="534">
        <v>0</v>
      </c>
      <c r="L268" s="533">
        <v>2.9618896649659019E-4</v>
      </c>
      <c r="M268" s="533">
        <v>1.9550447069383854E-3</v>
      </c>
      <c r="N268" s="533">
        <v>7.076192327990889E-3</v>
      </c>
      <c r="O268" s="534">
        <v>9.8973485198145124E-4</v>
      </c>
      <c r="P268" s="534">
        <v>0</v>
      </c>
      <c r="Q268" s="533">
        <v>0</v>
      </c>
      <c r="R268" s="534">
        <v>0</v>
      </c>
      <c r="S268" s="534">
        <v>0</v>
      </c>
      <c r="T268" s="534">
        <v>0</v>
      </c>
      <c r="U268" s="534">
        <v>1.6908203314848947E-3</v>
      </c>
      <c r="V268" s="535"/>
    </row>
    <row r="269" spans="1:22" s="553" customFormat="1">
      <c r="A269" s="530"/>
      <c r="B269" s="536" t="s">
        <v>757</v>
      </c>
      <c r="C269" s="537">
        <v>1.8629200452033659E-2</v>
      </c>
      <c r="D269" s="538">
        <v>0</v>
      </c>
      <c r="E269" s="538">
        <v>-1.6177316460991426E-2</v>
      </c>
      <c r="F269" s="538">
        <v>0.39933198744568632</v>
      </c>
      <c r="G269" s="538">
        <v>0</v>
      </c>
      <c r="H269" s="538">
        <v>0</v>
      </c>
      <c r="I269" s="538">
        <v>0</v>
      </c>
      <c r="J269" s="540">
        <v>3.0604360631060847E-2</v>
      </c>
      <c r="K269" s="540">
        <v>0</v>
      </c>
      <c r="L269" s="538">
        <v>9.2707686774324647E-3</v>
      </c>
      <c r="M269" s="538">
        <v>-0.2190519147127297</v>
      </c>
      <c r="N269" s="538">
        <v>-0.17464250484974683</v>
      </c>
      <c r="O269" s="540">
        <v>-4.417970080087634E-2</v>
      </c>
      <c r="P269" s="540">
        <v>0</v>
      </c>
      <c r="Q269" s="538">
        <v>0</v>
      </c>
      <c r="R269" s="540">
        <v>0</v>
      </c>
      <c r="S269" s="540">
        <v>0</v>
      </c>
      <c r="T269" s="540">
        <v>0</v>
      </c>
      <c r="U269" s="540">
        <v>-4.4334800618922327E-4</v>
      </c>
      <c r="V269" s="535"/>
    </row>
    <row r="270" spans="1:22">
      <c r="A270" s="530"/>
      <c r="B270" s="508" t="s">
        <v>758</v>
      </c>
      <c r="C270" s="527">
        <v>0</v>
      </c>
      <c r="D270" s="528">
        <v>0</v>
      </c>
      <c r="E270" s="528">
        <v>0</v>
      </c>
      <c r="F270" s="528">
        <v>0</v>
      </c>
      <c r="G270" s="528">
        <v>0</v>
      </c>
      <c r="H270" s="528">
        <v>0</v>
      </c>
      <c r="I270" s="528">
        <v>0</v>
      </c>
      <c r="J270" s="529">
        <v>0</v>
      </c>
      <c r="K270" s="529">
        <v>0</v>
      </c>
      <c r="L270" s="528">
        <v>0</v>
      </c>
      <c r="M270" s="528">
        <v>0</v>
      </c>
      <c r="N270" s="528">
        <v>0</v>
      </c>
      <c r="O270" s="529">
        <v>0</v>
      </c>
      <c r="P270" s="529">
        <v>0</v>
      </c>
      <c r="Q270" s="528">
        <v>0</v>
      </c>
      <c r="R270" s="529">
        <v>0</v>
      </c>
      <c r="S270" s="529">
        <v>0</v>
      </c>
      <c r="T270" s="529">
        <v>0</v>
      </c>
      <c r="U270" s="529">
        <v>0</v>
      </c>
      <c r="V270" s="535"/>
    </row>
    <row r="271" spans="1:22">
      <c r="A271" s="530"/>
      <c r="B271" s="531" t="s">
        <v>759</v>
      </c>
      <c r="C271" s="532">
        <v>0</v>
      </c>
      <c r="D271" s="533">
        <v>0</v>
      </c>
      <c r="E271" s="533">
        <v>0</v>
      </c>
      <c r="F271" s="533">
        <v>0</v>
      </c>
      <c r="G271" s="533">
        <v>0</v>
      </c>
      <c r="H271" s="533">
        <v>0</v>
      </c>
      <c r="I271" s="533">
        <v>0</v>
      </c>
      <c r="J271" s="534">
        <v>0</v>
      </c>
      <c r="K271" s="534">
        <v>0</v>
      </c>
      <c r="L271" s="533">
        <v>0</v>
      </c>
      <c r="M271" s="533">
        <v>0</v>
      </c>
      <c r="N271" s="533">
        <v>0</v>
      </c>
      <c r="O271" s="534">
        <v>0</v>
      </c>
      <c r="P271" s="534">
        <v>0</v>
      </c>
      <c r="Q271" s="533">
        <v>0</v>
      </c>
      <c r="R271" s="534">
        <v>0</v>
      </c>
      <c r="S271" s="534">
        <v>0</v>
      </c>
      <c r="T271" s="534">
        <v>0</v>
      </c>
      <c r="U271" s="534">
        <v>0</v>
      </c>
      <c r="V271" s="535"/>
    </row>
    <row r="272" spans="1:22" s="553" customFormat="1">
      <c r="A272" s="530"/>
      <c r="B272" s="536" t="s">
        <v>760</v>
      </c>
      <c r="C272" s="537">
        <v>0</v>
      </c>
      <c r="D272" s="538">
        <v>0</v>
      </c>
      <c r="E272" s="538">
        <v>0</v>
      </c>
      <c r="F272" s="538">
        <v>0</v>
      </c>
      <c r="G272" s="538">
        <v>0</v>
      </c>
      <c r="H272" s="538">
        <v>0</v>
      </c>
      <c r="I272" s="538">
        <v>0</v>
      </c>
      <c r="J272" s="540">
        <v>0</v>
      </c>
      <c r="K272" s="540">
        <v>0</v>
      </c>
      <c r="L272" s="538">
        <v>0</v>
      </c>
      <c r="M272" s="538">
        <v>0</v>
      </c>
      <c r="N272" s="538">
        <v>0</v>
      </c>
      <c r="O272" s="540">
        <v>0</v>
      </c>
      <c r="P272" s="540">
        <v>0</v>
      </c>
      <c r="Q272" s="538">
        <v>0</v>
      </c>
      <c r="R272" s="540">
        <v>0</v>
      </c>
      <c r="S272" s="540">
        <v>0</v>
      </c>
      <c r="T272" s="540">
        <v>0</v>
      </c>
      <c r="U272" s="540">
        <v>0</v>
      </c>
      <c r="V272" s="535"/>
    </row>
    <row r="273" spans="1:22">
      <c r="A273" s="530"/>
      <c r="B273" s="508" t="s">
        <v>761</v>
      </c>
      <c r="C273" s="527">
        <v>0</v>
      </c>
      <c r="D273" s="528">
        <v>0</v>
      </c>
      <c r="E273" s="528">
        <v>0</v>
      </c>
      <c r="F273" s="528">
        <v>0</v>
      </c>
      <c r="G273" s="528">
        <v>0</v>
      </c>
      <c r="H273" s="528">
        <v>0</v>
      </c>
      <c r="I273" s="528">
        <v>0</v>
      </c>
      <c r="J273" s="529">
        <v>0</v>
      </c>
      <c r="K273" s="529">
        <v>0</v>
      </c>
      <c r="L273" s="528">
        <v>0</v>
      </c>
      <c r="M273" s="528">
        <v>1.228166076240926E-4</v>
      </c>
      <c r="N273" s="528">
        <v>0</v>
      </c>
      <c r="O273" s="529">
        <v>2.3046567289364765E-5</v>
      </c>
      <c r="P273" s="529">
        <v>0</v>
      </c>
      <c r="Q273" s="528">
        <v>0</v>
      </c>
      <c r="R273" s="529">
        <v>0</v>
      </c>
      <c r="S273" s="529">
        <v>0</v>
      </c>
      <c r="T273" s="529">
        <v>0</v>
      </c>
      <c r="U273" s="529">
        <v>9.9548019353440511E-6</v>
      </c>
      <c r="V273" s="535"/>
    </row>
    <row r="274" spans="1:22">
      <c r="A274" s="530"/>
      <c r="B274" s="531" t="s">
        <v>762</v>
      </c>
      <c r="C274" s="532">
        <v>0</v>
      </c>
      <c r="D274" s="533">
        <v>0</v>
      </c>
      <c r="E274" s="533">
        <v>0</v>
      </c>
      <c r="F274" s="533">
        <v>0</v>
      </c>
      <c r="G274" s="533">
        <v>0</v>
      </c>
      <c r="H274" s="533">
        <v>0</v>
      </c>
      <c r="I274" s="533">
        <v>0</v>
      </c>
      <c r="J274" s="534">
        <v>0</v>
      </c>
      <c r="K274" s="534">
        <v>0</v>
      </c>
      <c r="L274" s="533">
        <v>0</v>
      </c>
      <c r="M274" s="533">
        <v>1.981882701859398E-4</v>
      </c>
      <c r="N274" s="533">
        <v>0</v>
      </c>
      <c r="O274" s="534">
        <v>3.7407301492212329E-5</v>
      </c>
      <c r="P274" s="534">
        <v>0</v>
      </c>
      <c r="Q274" s="533">
        <v>0</v>
      </c>
      <c r="R274" s="534">
        <v>0</v>
      </c>
      <c r="S274" s="534">
        <v>0</v>
      </c>
      <c r="T274" s="534">
        <v>0</v>
      </c>
      <c r="U274" s="534">
        <v>1.5770585554777741E-5</v>
      </c>
      <c r="V274" s="535"/>
    </row>
    <row r="275" spans="1:22" s="553" customFormat="1" ht="15.75" thickBot="1">
      <c r="A275" s="530"/>
      <c r="B275" s="542" t="s">
        <v>763</v>
      </c>
      <c r="C275" s="543">
        <v>0</v>
      </c>
      <c r="D275" s="544">
        <v>0</v>
      </c>
      <c r="E275" s="544">
        <v>0</v>
      </c>
      <c r="F275" s="544">
        <v>0</v>
      </c>
      <c r="G275" s="544">
        <v>0</v>
      </c>
      <c r="H275" s="544">
        <v>0</v>
      </c>
      <c r="I275" s="544">
        <v>0</v>
      </c>
      <c r="J275" s="545">
        <v>0</v>
      </c>
      <c r="K275" s="545">
        <v>0</v>
      </c>
      <c r="L275" s="544">
        <v>0</v>
      </c>
      <c r="M275" s="544">
        <v>7.5371662561847207E-3</v>
      </c>
      <c r="N275" s="544">
        <v>0</v>
      </c>
      <c r="O275" s="545">
        <v>1.4360734202847564E-3</v>
      </c>
      <c r="P275" s="545">
        <v>0</v>
      </c>
      <c r="Q275" s="544">
        <v>0</v>
      </c>
      <c r="R275" s="545">
        <v>0</v>
      </c>
      <c r="S275" s="545">
        <v>0</v>
      </c>
      <c r="T275" s="545">
        <v>0</v>
      </c>
      <c r="U275" s="545">
        <v>5.8157836194336896E-4</v>
      </c>
      <c r="V275" s="535"/>
    </row>
    <row r="276" spans="1:22" ht="15.75" thickTop="1">
      <c r="A276" s="530"/>
      <c r="B276" s="531" t="s">
        <v>764</v>
      </c>
      <c r="C276" s="532">
        <v>0.77559847651930658</v>
      </c>
      <c r="D276" s="533">
        <v>0.7189556099508706</v>
      </c>
      <c r="E276" s="533">
        <v>0.6791856276606556</v>
      </c>
      <c r="F276" s="533">
        <v>0.60197248466766118</v>
      </c>
      <c r="G276" s="533">
        <v>0.76337859424920129</v>
      </c>
      <c r="H276" s="533">
        <v>1</v>
      </c>
      <c r="I276" s="533">
        <v>0.10630743607328304</v>
      </c>
      <c r="J276" s="534">
        <v>0.46799255583324489</v>
      </c>
      <c r="K276" s="534">
        <v>0</v>
      </c>
      <c r="L276" s="533">
        <v>0</v>
      </c>
      <c r="M276" s="533">
        <v>0</v>
      </c>
      <c r="N276" s="533">
        <v>0</v>
      </c>
      <c r="O276" s="534">
        <v>0</v>
      </c>
      <c r="P276" s="534">
        <v>0</v>
      </c>
      <c r="Q276" s="533">
        <v>0</v>
      </c>
      <c r="R276" s="534">
        <v>0</v>
      </c>
      <c r="S276" s="534">
        <v>0</v>
      </c>
      <c r="T276" s="534">
        <v>0</v>
      </c>
      <c r="U276" s="534">
        <v>0.46799255583324489</v>
      </c>
      <c r="V276" s="535"/>
    </row>
    <row r="277" spans="1:22">
      <c r="A277" s="530"/>
      <c r="B277" s="531" t="s">
        <v>765</v>
      </c>
      <c r="C277" s="532">
        <v>0.76953117630412227</v>
      </c>
      <c r="D277" s="533">
        <v>0.71748786636711315</v>
      </c>
      <c r="E277" s="533">
        <v>0.67174349695390179</v>
      </c>
      <c r="F277" s="533">
        <v>0.61973856286503859</v>
      </c>
      <c r="G277" s="533">
        <v>0.82503364737550466</v>
      </c>
      <c r="H277" s="533">
        <v>1</v>
      </c>
      <c r="I277" s="533">
        <v>0.10270231009476626</v>
      </c>
      <c r="J277" s="534">
        <v>0.45942735817843822</v>
      </c>
      <c r="K277" s="534">
        <v>0</v>
      </c>
      <c r="L277" s="533">
        <v>0</v>
      </c>
      <c r="M277" s="533">
        <v>0</v>
      </c>
      <c r="N277" s="533">
        <v>0</v>
      </c>
      <c r="O277" s="534">
        <v>0</v>
      </c>
      <c r="P277" s="534">
        <v>0</v>
      </c>
      <c r="Q277" s="533">
        <v>0</v>
      </c>
      <c r="R277" s="534">
        <v>0</v>
      </c>
      <c r="S277" s="534">
        <v>0</v>
      </c>
      <c r="T277" s="534">
        <v>0</v>
      </c>
      <c r="U277" s="534">
        <v>0.45942735817843822</v>
      </c>
      <c r="V277" s="535"/>
    </row>
    <row r="278" spans="1:22" s="553" customFormat="1">
      <c r="A278" s="530"/>
      <c r="B278" s="536" t="s">
        <v>766</v>
      </c>
      <c r="C278" s="537">
        <v>-0.60673002151843125</v>
      </c>
      <c r="D278" s="538">
        <v>-0.14677435837574526</v>
      </c>
      <c r="E278" s="538">
        <v>-0.74421307067538134</v>
      </c>
      <c r="F278" s="538">
        <v>1.7766078197377411</v>
      </c>
      <c r="G278" s="538">
        <v>6.1655053126303372</v>
      </c>
      <c r="H278" s="538">
        <v>0</v>
      </c>
      <c r="I278" s="538">
        <v>-0.36051259785167822</v>
      </c>
      <c r="J278" s="540">
        <v>-0.85651976548066777</v>
      </c>
      <c r="K278" s="540">
        <v>0</v>
      </c>
      <c r="L278" s="538">
        <v>0</v>
      </c>
      <c r="M278" s="538">
        <v>0</v>
      </c>
      <c r="N278" s="538">
        <v>0</v>
      </c>
      <c r="O278" s="540">
        <v>0</v>
      </c>
      <c r="P278" s="540">
        <v>0</v>
      </c>
      <c r="Q278" s="538">
        <v>0</v>
      </c>
      <c r="R278" s="540">
        <v>0</v>
      </c>
      <c r="S278" s="540">
        <v>0</v>
      </c>
      <c r="T278" s="540">
        <v>0</v>
      </c>
      <c r="U278" s="540">
        <v>-0.85651976548066777</v>
      </c>
      <c r="V278" s="535"/>
    </row>
    <row r="279" spans="1:22">
      <c r="A279" s="530"/>
      <c r="B279" s="508" t="s">
        <v>767</v>
      </c>
      <c r="C279" s="527">
        <v>0.12452469985603171</v>
      </c>
      <c r="D279" s="528">
        <v>5.9180945436869609E-2</v>
      </c>
      <c r="E279" s="528">
        <v>8.782845334748586E-2</v>
      </c>
      <c r="F279" s="528">
        <v>5.4351069119840875E-2</v>
      </c>
      <c r="G279" s="528">
        <v>0.10862619808306709</v>
      </c>
      <c r="H279" s="528">
        <v>0</v>
      </c>
      <c r="I279" s="528">
        <v>2.9011462721661604E-2</v>
      </c>
      <c r="J279" s="529">
        <v>6.7289460186231803E-2</v>
      </c>
      <c r="K279" s="529">
        <v>0</v>
      </c>
      <c r="L279" s="528">
        <v>0</v>
      </c>
      <c r="M279" s="528">
        <v>0</v>
      </c>
      <c r="N279" s="528">
        <v>0</v>
      </c>
      <c r="O279" s="529">
        <v>0</v>
      </c>
      <c r="P279" s="529">
        <v>0</v>
      </c>
      <c r="Q279" s="528">
        <v>0</v>
      </c>
      <c r="R279" s="529">
        <v>0</v>
      </c>
      <c r="S279" s="529">
        <v>0</v>
      </c>
      <c r="T279" s="529">
        <v>0</v>
      </c>
      <c r="U279" s="529">
        <v>6.7289460186231803E-2</v>
      </c>
      <c r="V279" s="535"/>
    </row>
    <row r="280" spans="1:22">
      <c r="A280" s="530"/>
      <c r="B280" s="531" t="s">
        <v>768</v>
      </c>
      <c r="C280" s="532">
        <v>0.10636732383737384</v>
      </c>
      <c r="D280" s="533">
        <v>6.2083040353976229E-2</v>
      </c>
      <c r="E280" s="533">
        <v>0.10865523480685911</v>
      </c>
      <c r="F280" s="533">
        <v>2.9741580812952324E-2</v>
      </c>
      <c r="G280" s="533">
        <v>4.4991347817727359E-2</v>
      </c>
      <c r="H280" s="533">
        <v>0</v>
      </c>
      <c r="I280" s="533">
        <v>3.6400334873906211E-2</v>
      </c>
      <c r="J280" s="534">
        <v>6.2439650610257788E-2</v>
      </c>
      <c r="K280" s="534">
        <v>0</v>
      </c>
      <c r="L280" s="533">
        <v>0</v>
      </c>
      <c r="M280" s="533">
        <v>0</v>
      </c>
      <c r="N280" s="533">
        <v>0</v>
      </c>
      <c r="O280" s="534">
        <v>0</v>
      </c>
      <c r="P280" s="534">
        <v>0</v>
      </c>
      <c r="Q280" s="533">
        <v>0</v>
      </c>
      <c r="R280" s="534">
        <v>0</v>
      </c>
      <c r="S280" s="534">
        <v>0</v>
      </c>
      <c r="T280" s="534">
        <v>0</v>
      </c>
      <c r="U280" s="534">
        <v>6.2439650610257788E-2</v>
      </c>
      <c r="V280" s="535"/>
    </row>
    <row r="281" spans="1:22" s="553" customFormat="1">
      <c r="A281" s="530"/>
      <c r="B281" s="536" t="s">
        <v>769</v>
      </c>
      <c r="C281" s="537">
        <v>-1.8157376018657869</v>
      </c>
      <c r="D281" s="538">
        <v>0.29020949171066207</v>
      </c>
      <c r="E281" s="538">
        <v>2.0826781459373249</v>
      </c>
      <c r="F281" s="538">
        <v>-2.4609488306888552</v>
      </c>
      <c r="G281" s="538">
        <v>-6.3634850265339731</v>
      </c>
      <c r="H281" s="538">
        <v>0</v>
      </c>
      <c r="I281" s="538">
        <v>0.73888721522446066</v>
      </c>
      <c r="J281" s="540">
        <v>-0.48498095759740151</v>
      </c>
      <c r="K281" s="540">
        <v>0</v>
      </c>
      <c r="L281" s="538">
        <v>0</v>
      </c>
      <c r="M281" s="538">
        <v>0</v>
      </c>
      <c r="N281" s="538">
        <v>0</v>
      </c>
      <c r="O281" s="540">
        <v>0</v>
      </c>
      <c r="P281" s="540">
        <v>0</v>
      </c>
      <c r="Q281" s="538">
        <v>0</v>
      </c>
      <c r="R281" s="540">
        <v>0</v>
      </c>
      <c r="S281" s="540">
        <v>0</v>
      </c>
      <c r="T281" s="540">
        <v>0</v>
      </c>
      <c r="U281" s="540">
        <v>-0.48498095759740151</v>
      </c>
      <c r="V281" s="535"/>
    </row>
    <row r="282" spans="1:22">
      <c r="A282" s="530"/>
      <c r="B282" s="508" t="s">
        <v>770</v>
      </c>
      <c r="C282" s="527">
        <v>9.5693237270461931E-2</v>
      </c>
      <c r="D282" s="528">
        <v>0.22186344461225979</v>
      </c>
      <c r="E282" s="528">
        <v>0.23285041610677629</v>
      </c>
      <c r="F282" s="528">
        <v>0.28899386706447872</v>
      </c>
      <c r="G282" s="528">
        <v>0.12799520766773162</v>
      </c>
      <c r="H282" s="528">
        <v>0</v>
      </c>
      <c r="I282" s="528">
        <v>0.86420691682178896</v>
      </c>
      <c r="J282" s="529">
        <v>0.4581831989336303</v>
      </c>
      <c r="K282" s="529">
        <v>0</v>
      </c>
      <c r="L282" s="528">
        <v>0</v>
      </c>
      <c r="M282" s="528">
        <v>0</v>
      </c>
      <c r="N282" s="528">
        <v>0</v>
      </c>
      <c r="O282" s="529">
        <v>0</v>
      </c>
      <c r="P282" s="529">
        <v>0</v>
      </c>
      <c r="Q282" s="528">
        <v>0</v>
      </c>
      <c r="R282" s="529">
        <v>0</v>
      </c>
      <c r="S282" s="529">
        <v>0</v>
      </c>
      <c r="T282" s="529">
        <v>0</v>
      </c>
      <c r="U282" s="529">
        <v>0.4581831989336303</v>
      </c>
      <c r="V282" s="535"/>
    </row>
    <row r="283" spans="1:22">
      <c r="A283" s="530"/>
      <c r="B283" s="531" t="s">
        <v>771</v>
      </c>
      <c r="C283" s="532">
        <v>0.12090683268874006</v>
      </c>
      <c r="D283" s="533">
        <v>0.22042909327891064</v>
      </c>
      <c r="E283" s="533">
        <v>0.21960126823923906</v>
      </c>
      <c r="F283" s="533">
        <v>0.31050541751238248</v>
      </c>
      <c r="G283" s="533">
        <v>0.12997500480676794</v>
      </c>
      <c r="H283" s="533">
        <v>0</v>
      </c>
      <c r="I283" s="533">
        <v>0.85956321127255908</v>
      </c>
      <c r="J283" s="534">
        <v>0.4714079765528984</v>
      </c>
      <c r="K283" s="534">
        <v>0</v>
      </c>
      <c r="L283" s="533">
        <v>0</v>
      </c>
      <c r="M283" s="533">
        <v>0</v>
      </c>
      <c r="N283" s="533">
        <v>0</v>
      </c>
      <c r="O283" s="534">
        <v>0</v>
      </c>
      <c r="P283" s="534">
        <v>0</v>
      </c>
      <c r="Q283" s="533">
        <v>0</v>
      </c>
      <c r="R283" s="534">
        <v>0</v>
      </c>
      <c r="S283" s="534">
        <v>0</v>
      </c>
      <c r="T283" s="534">
        <v>0</v>
      </c>
      <c r="U283" s="534">
        <v>0.4714079765528984</v>
      </c>
      <c r="V283" s="535"/>
    </row>
    <row r="284" spans="1:22" s="553" customFormat="1">
      <c r="A284" s="530"/>
      <c r="B284" s="536" t="s">
        <v>772</v>
      </c>
      <c r="C284" s="537">
        <v>2.5213595418278127</v>
      </c>
      <c r="D284" s="538">
        <v>-0.14343513333491542</v>
      </c>
      <c r="E284" s="538">
        <v>-1.3249147867537225</v>
      </c>
      <c r="F284" s="538">
        <v>2.151155044790376</v>
      </c>
      <c r="G284" s="538">
        <v>0.19797971390363156</v>
      </c>
      <c r="H284" s="538">
        <v>0</v>
      </c>
      <c r="I284" s="538">
        <v>-0.46437055492298818</v>
      </c>
      <c r="J284" s="540">
        <v>1.3224777619268102</v>
      </c>
      <c r="K284" s="540">
        <v>0</v>
      </c>
      <c r="L284" s="538">
        <v>0</v>
      </c>
      <c r="M284" s="538">
        <v>0</v>
      </c>
      <c r="N284" s="538">
        <v>0</v>
      </c>
      <c r="O284" s="540">
        <v>0</v>
      </c>
      <c r="P284" s="540">
        <v>0</v>
      </c>
      <c r="Q284" s="538">
        <v>0</v>
      </c>
      <c r="R284" s="540">
        <v>0</v>
      </c>
      <c r="S284" s="540">
        <v>0</v>
      </c>
      <c r="T284" s="540">
        <v>0</v>
      </c>
      <c r="U284" s="540">
        <v>1.3224777619268102</v>
      </c>
      <c r="V284" s="535"/>
    </row>
    <row r="285" spans="1:22">
      <c r="A285" s="530"/>
      <c r="B285" s="508" t="s">
        <v>773</v>
      </c>
      <c r="C285" s="527">
        <v>4.1835863541998105E-3</v>
      </c>
      <c r="D285" s="528">
        <v>0</v>
      </c>
      <c r="E285" s="528">
        <v>1.3550288508226154E-4</v>
      </c>
      <c r="F285" s="528">
        <v>5.4682579148019231E-2</v>
      </c>
      <c r="G285" s="528">
        <v>0</v>
      </c>
      <c r="H285" s="528">
        <v>0</v>
      </c>
      <c r="I285" s="528">
        <v>4.741843832663858E-4</v>
      </c>
      <c r="J285" s="529">
        <v>6.5347850468929856E-3</v>
      </c>
      <c r="K285" s="529">
        <v>0</v>
      </c>
      <c r="L285" s="528">
        <v>0</v>
      </c>
      <c r="M285" s="528">
        <v>0</v>
      </c>
      <c r="N285" s="528">
        <v>0</v>
      </c>
      <c r="O285" s="529">
        <v>0</v>
      </c>
      <c r="P285" s="529">
        <v>0</v>
      </c>
      <c r="Q285" s="528">
        <v>0</v>
      </c>
      <c r="R285" s="529">
        <v>0</v>
      </c>
      <c r="S285" s="529">
        <v>0</v>
      </c>
      <c r="T285" s="529">
        <v>0</v>
      </c>
      <c r="U285" s="529">
        <v>6.5347850468929856E-3</v>
      </c>
      <c r="V285" s="535"/>
    </row>
    <row r="286" spans="1:22">
      <c r="A286" s="530"/>
      <c r="B286" s="531" t="s">
        <v>774</v>
      </c>
      <c r="C286" s="532">
        <v>3.1946671697638588E-3</v>
      </c>
      <c r="D286" s="533">
        <v>0</v>
      </c>
      <c r="E286" s="533">
        <v>0</v>
      </c>
      <c r="F286" s="533">
        <v>4.0014438809626664E-2</v>
      </c>
      <c r="G286" s="533">
        <v>0</v>
      </c>
      <c r="H286" s="533">
        <v>0</v>
      </c>
      <c r="I286" s="533">
        <v>1.3341437587684592E-3</v>
      </c>
      <c r="J286" s="534">
        <v>6.7250146584055936E-3</v>
      </c>
      <c r="K286" s="534">
        <v>0</v>
      </c>
      <c r="L286" s="533">
        <v>0</v>
      </c>
      <c r="M286" s="533">
        <v>0</v>
      </c>
      <c r="N286" s="533">
        <v>0</v>
      </c>
      <c r="O286" s="534">
        <v>0</v>
      </c>
      <c r="P286" s="534">
        <v>0</v>
      </c>
      <c r="Q286" s="533">
        <v>0</v>
      </c>
      <c r="R286" s="534">
        <v>0</v>
      </c>
      <c r="S286" s="534">
        <v>0</v>
      </c>
      <c r="T286" s="534">
        <v>0</v>
      </c>
      <c r="U286" s="534">
        <v>6.7250146584055936E-3</v>
      </c>
      <c r="V286" s="535"/>
    </row>
    <row r="287" spans="1:22" s="553" customFormat="1">
      <c r="A287" s="530"/>
      <c r="B287" s="536" t="s">
        <v>775</v>
      </c>
      <c r="C287" s="537">
        <v>-9.889191844359517E-2</v>
      </c>
      <c r="D287" s="538">
        <v>0</v>
      </c>
      <c r="E287" s="538">
        <v>-1.3550288508226154E-2</v>
      </c>
      <c r="F287" s="538">
        <v>-1.4668140338392568</v>
      </c>
      <c r="G287" s="538">
        <v>0</v>
      </c>
      <c r="H287" s="538">
        <v>0</v>
      </c>
      <c r="I287" s="538">
        <v>8.5995937550207346E-2</v>
      </c>
      <c r="J287" s="540">
        <v>1.90229611512608E-2</v>
      </c>
      <c r="K287" s="540">
        <v>0</v>
      </c>
      <c r="L287" s="538">
        <v>0</v>
      </c>
      <c r="M287" s="538">
        <v>0</v>
      </c>
      <c r="N287" s="538">
        <v>0</v>
      </c>
      <c r="O287" s="540">
        <v>0</v>
      </c>
      <c r="P287" s="540">
        <v>0</v>
      </c>
      <c r="Q287" s="538">
        <v>0</v>
      </c>
      <c r="R287" s="540">
        <v>0</v>
      </c>
      <c r="S287" s="540">
        <v>0</v>
      </c>
      <c r="T287" s="540">
        <v>0</v>
      </c>
      <c r="U287" s="540">
        <v>1.90229611512608E-2</v>
      </c>
      <c r="V287" s="535"/>
    </row>
    <row r="288" spans="1:22">
      <c r="A288" s="530"/>
      <c r="B288" s="508" t="s">
        <v>776</v>
      </c>
      <c r="C288" s="527">
        <v>0</v>
      </c>
      <c r="D288" s="528">
        <v>0</v>
      </c>
      <c r="E288" s="528">
        <v>0</v>
      </c>
      <c r="F288" s="528">
        <v>0</v>
      </c>
      <c r="G288" s="528">
        <v>0</v>
      </c>
      <c r="H288" s="528">
        <v>0</v>
      </c>
      <c r="I288" s="528">
        <v>0</v>
      </c>
      <c r="J288" s="529">
        <v>0</v>
      </c>
      <c r="K288" s="529">
        <v>0</v>
      </c>
      <c r="L288" s="528">
        <v>0</v>
      </c>
      <c r="M288" s="528">
        <v>0</v>
      </c>
      <c r="N288" s="528">
        <v>0</v>
      </c>
      <c r="O288" s="529">
        <v>0</v>
      </c>
      <c r="P288" s="529">
        <v>0</v>
      </c>
      <c r="Q288" s="528">
        <v>0</v>
      </c>
      <c r="R288" s="529">
        <v>0</v>
      </c>
      <c r="S288" s="529">
        <v>0</v>
      </c>
      <c r="T288" s="529">
        <v>0</v>
      </c>
      <c r="U288" s="529">
        <v>0</v>
      </c>
      <c r="V288" s="535"/>
    </row>
    <row r="289" spans="1:22">
      <c r="A289" s="530"/>
      <c r="B289" s="531" t="s">
        <v>777</v>
      </c>
      <c r="C289" s="532">
        <v>0</v>
      </c>
      <c r="D289" s="533">
        <v>0</v>
      </c>
      <c r="E289" s="533">
        <v>0</v>
      </c>
      <c r="F289" s="533">
        <v>0</v>
      </c>
      <c r="G289" s="533">
        <v>0</v>
      </c>
      <c r="H289" s="533">
        <v>0</v>
      </c>
      <c r="I289" s="533">
        <v>0</v>
      </c>
      <c r="J289" s="534">
        <v>0</v>
      </c>
      <c r="K289" s="534">
        <v>0</v>
      </c>
      <c r="L289" s="533">
        <v>0</v>
      </c>
      <c r="M289" s="533">
        <v>0</v>
      </c>
      <c r="N289" s="533">
        <v>0</v>
      </c>
      <c r="O289" s="534">
        <v>0</v>
      </c>
      <c r="P289" s="534">
        <v>0</v>
      </c>
      <c r="Q289" s="533">
        <v>0</v>
      </c>
      <c r="R289" s="534">
        <v>0</v>
      </c>
      <c r="S289" s="534">
        <v>0</v>
      </c>
      <c r="T289" s="534">
        <v>0</v>
      </c>
      <c r="U289" s="534">
        <v>0</v>
      </c>
      <c r="V289" s="535"/>
    </row>
    <row r="290" spans="1:22" s="553" customFormat="1">
      <c r="A290" s="530"/>
      <c r="B290" s="536" t="s">
        <v>778</v>
      </c>
      <c r="C290" s="537">
        <v>0</v>
      </c>
      <c r="D290" s="538">
        <v>0</v>
      </c>
      <c r="E290" s="538">
        <v>0</v>
      </c>
      <c r="F290" s="538">
        <v>0</v>
      </c>
      <c r="G290" s="538">
        <v>0</v>
      </c>
      <c r="H290" s="538">
        <v>0</v>
      </c>
      <c r="I290" s="538">
        <v>0</v>
      </c>
      <c r="J290" s="540">
        <v>0</v>
      </c>
      <c r="K290" s="540">
        <v>0</v>
      </c>
      <c r="L290" s="538">
        <v>0</v>
      </c>
      <c r="M290" s="538">
        <v>0</v>
      </c>
      <c r="N290" s="538">
        <v>0</v>
      </c>
      <c r="O290" s="540">
        <v>0</v>
      </c>
      <c r="P290" s="540">
        <v>0</v>
      </c>
      <c r="Q290" s="538">
        <v>0</v>
      </c>
      <c r="R290" s="540">
        <v>0</v>
      </c>
      <c r="S290" s="540">
        <v>0</v>
      </c>
      <c r="T290" s="540">
        <v>0</v>
      </c>
      <c r="U290" s="540">
        <v>0</v>
      </c>
      <c r="V290" s="535"/>
    </row>
    <row r="291" spans="1:22">
      <c r="A291" s="530"/>
      <c r="B291" s="508" t="s">
        <v>779</v>
      </c>
      <c r="C291" s="527">
        <v>0</v>
      </c>
      <c r="D291" s="528">
        <v>0</v>
      </c>
      <c r="E291" s="528">
        <v>0</v>
      </c>
      <c r="F291" s="528">
        <v>0</v>
      </c>
      <c r="G291" s="528">
        <v>0</v>
      </c>
      <c r="H291" s="528">
        <v>0</v>
      </c>
      <c r="I291" s="528">
        <v>0</v>
      </c>
      <c r="J291" s="529">
        <v>0</v>
      </c>
      <c r="K291" s="529">
        <v>0</v>
      </c>
      <c r="L291" s="528">
        <v>0</v>
      </c>
      <c r="M291" s="528">
        <v>0</v>
      </c>
      <c r="N291" s="528">
        <v>0</v>
      </c>
      <c r="O291" s="529">
        <v>0</v>
      </c>
      <c r="P291" s="529">
        <v>0</v>
      </c>
      <c r="Q291" s="528">
        <v>0</v>
      </c>
      <c r="R291" s="529">
        <v>0</v>
      </c>
      <c r="S291" s="529">
        <v>0</v>
      </c>
      <c r="T291" s="529">
        <v>0</v>
      </c>
      <c r="U291" s="529">
        <v>0</v>
      </c>
      <c r="V291" s="535"/>
    </row>
    <row r="292" spans="1:22">
      <c r="A292" s="530"/>
      <c r="B292" s="531" t="s">
        <v>780</v>
      </c>
      <c r="C292" s="532">
        <v>0</v>
      </c>
      <c r="D292" s="533">
        <v>0</v>
      </c>
      <c r="E292" s="533">
        <v>0</v>
      </c>
      <c r="F292" s="533">
        <v>0</v>
      </c>
      <c r="G292" s="533">
        <v>0</v>
      </c>
      <c r="H292" s="533">
        <v>0</v>
      </c>
      <c r="I292" s="533">
        <v>0</v>
      </c>
      <c r="J292" s="534">
        <v>0</v>
      </c>
      <c r="K292" s="534">
        <v>0</v>
      </c>
      <c r="L292" s="533">
        <v>0</v>
      </c>
      <c r="M292" s="533">
        <v>0</v>
      </c>
      <c r="N292" s="533">
        <v>0</v>
      </c>
      <c r="O292" s="534">
        <v>0</v>
      </c>
      <c r="P292" s="534">
        <v>0</v>
      </c>
      <c r="Q292" s="533">
        <v>0</v>
      </c>
      <c r="R292" s="534">
        <v>0</v>
      </c>
      <c r="S292" s="534">
        <v>0</v>
      </c>
      <c r="T292" s="534">
        <v>0</v>
      </c>
      <c r="U292" s="534">
        <v>0</v>
      </c>
      <c r="V292" s="535"/>
    </row>
    <row r="293" spans="1:22" s="553" customFormat="1" ht="15.75" thickBot="1">
      <c r="A293" s="546"/>
      <c r="B293" s="547" t="s">
        <v>781</v>
      </c>
      <c r="C293" s="548">
        <v>0</v>
      </c>
      <c r="D293" s="549">
        <v>0</v>
      </c>
      <c r="E293" s="549">
        <v>0</v>
      </c>
      <c r="F293" s="549">
        <v>0</v>
      </c>
      <c r="G293" s="549">
        <v>0</v>
      </c>
      <c r="H293" s="549">
        <v>0</v>
      </c>
      <c r="I293" s="549">
        <v>0</v>
      </c>
      <c r="J293" s="550">
        <v>0</v>
      </c>
      <c r="K293" s="550">
        <v>0</v>
      </c>
      <c r="L293" s="549">
        <v>0</v>
      </c>
      <c r="M293" s="549">
        <v>0</v>
      </c>
      <c r="N293" s="549">
        <v>0</v>
      </c>
      <c r="O293" s="550">
        <v>0</v>
      </c>
      <c r="P293" s="550">
        <v>0</v>
      </c>
      <c r="Q293" s="549">
        <v>0</v>
      </c>
      <c r="R293" s="550">
        <v>0</v>
      </c>
      <c r="S293" s="550">
        <v>0</v>
      </c>
      <c r="T293" s="550">
        <v>0</v>
      </c>
      <c r="U293" s="550">
        <v>0</v>
      </c>
      <c r="V293" s="535"/>
    </row>
    <row r="294" spans="1:22">
      <c r="A294" s="526" t="s">
        <v>313</v>
      </c>
      <c r="B294" s="508" t="s">
        <v>746</v>
      </c>
      <c r="C294" s="527">
        <v>0.81512065960060109</v>
      </c>
      <c r="D294" s="528">
        <v>0.69533969679955077</v>
      </c>
      <c r="E294" s="528">
        <v>0</v>
      </c>
      <c r="F294" s="528">
        <v>0.73202194641835006</v>
      </c>
      <c r="G294" s="528">
        <v>0.48394412443999218</v>
      </c>
      <c r="H294" s="528">
        <v>0</v>
      </c>
      <c r="I294" s="528">
        <v>0</v>
      </c>
      <c r="J294" s="529">
        <v>0.78227890998610983</v>
      </c>
      <c r="K294" s="529">
        <v>0</v>
      </c>
      <c r="L294" s="528">
        <v>0.69342665867071163</v>
      </c>
      <c r="M294" s="528">
        <v>0.72541588311876171</v>
      </c>
      <c r="N294" s="528">
        <v>0.80521473845774871</v>
      </c>
      <c r="O294" s="529">
        <v>0.7125756628834562</v>
      </c>
      <c r="P294" s="529">
        <v>0</v>
      </c>
      <c r="Q294" s="528">
        <v>0</v>
      </c>
      <c r="R294" s="529">
        <v>0</v>
      </c>
      <c r="S294" s="529">
        <v>0</v>
      </c>
      <c r="T294" s="529">
        <v>0</v>
      </c>
      <c r="U294" s="529">
        <v>0.74711620766567177</v>
      </c>
      <c r="V294" s="535"/>
    </row>
    <row r="295" spans="1:22">
      <c r="A295" s="530"/>
      <c r="B295" s="531" t="s">
        <v>747</v>
      </c>
      <c r="C295" s="532">
        <v>0.79963488708531905</v>
      </c>
      <c r="D295" s="533">
        <v>0.67451055586043651</v>
      </c>
      <c r="E295" s="533">
        <v>0</v>
      </c>
      <c r="F295" s="533">
        <v>0.71439544964061674</v>
      </c>
      <c r="G295" s="533">
        <v>0.47272701459480948</v>
      </c>
      <c r="H295" s="533">
        <v>0</v>
      </c>
      <c r="I295" s="533">
        <v>0</v>
      </c>
      <c r="J295" s="534">
        <v>0.7668787240230639</v>
      </c>
      <c r="K295" s="534">
        <v>0</v>
      </c>
      <c r="L295" s="533">
        <v>0.66641305015464658</v>
      </c>
      <c r="M295" s="533">
        <v>0.70904118032281671</v>
      </c>
      <c r="N295" s="533">
        <v>0.75163609461843428</v>
      </c>
      <c r="O295" s="534">
        <v>0.68840672441146411</v>
      </c>
      <c r="P295" s="534">
        <v>0</v>
      </c>
      <c r="Q295" s="533">
        <v>0</v>
      </c>
      <c r="R295" s="534">
        <v>0</v>
      </c>
      <c r="S295" s="534">
        <v>0</v>
      </c>
      <c r="T295" s="534">
        <v>0</v>
      </c>
      <c r="U295" s="534">
        <v>0.72745454755764494</v>
      </c>
      <c r="V295" s="535"/>
    </row>
    <row r="296" spans="1:22" s="553" customFormat="1">
      <c r="A296" s="530"/>
      <c r="B296" s="536" t="s">
        <v>748</v>
      </c>
      <c r="C296" s="537">
        <v>-1.5485772515282048</v>
      </c>
      <c r="D296" s="538">
        <v>-2.0829140939114255</v>
      </c>
      <c r="E296" s="538">
        <v>0</v>
      </c>
      <c r="F296" s="538">
        <v>-1.7626496777733314</v>
      </c>
      <c r="G296" s="538">
        <v>-1.1217109845182704</v>
      </c>
      <c r="H296" s="538">
        <v>0</v>
      </c>
      <c r="I296" s="538">
        <v>0</v>
      </c>
      <c r="J296" s="540">
        <v>-1.5400185963045931</v>
      </c>
      <c r="K296" s="540">
        <v>0</v>
      </c>
      <c r="L296" s="538">
        <v>-2.7013608516065046</v>
      </c>
      <c r="M296" s="538">
        <v>-1.6374702795944995</v>
      </c>
      <c r="N296" s="538">
        <v>-5.3578643839314433</v>
      </c>
      <c r="O296" s="540">
        <v>-2.4168938471992085</v>
      </c>
      <c r="P296" s="540">
        <v>0</v>
      </c>
      <c r="Q296" s="538">
        <v>0</v>
      </c>
      <c r="R296" s="540">
        <v>0</v>
      </c>
      <c r="S296" s="540">
        <v>0</v>
      </c>
      <c r="T296" s="540">
        <v>0</v>
      </c>
      <c r="U296" s="540">
        <v>-1.9661660108026835</v>
      </c>
      <c r="V296" s="535"/>
    </row>
    <row r="297" spans="1:22">
      <c r="A297" s="530"/>
      <c r="B297" s="508" t="s">
        <v>749</v>
      </c>
      <c r="C297" s="527">
        <v>5.4300554100349702E-2</v>
      </c>
      <c r="D297" s="528">
        <v>2.2315802607773411E-2</v>
      </c>
      <c r="E297" s="528">
        <v>0</v>
      </c>
      <c r="F297" s="528">
        <v>3.2538031616617107E-2</v>
      </c>
      <c r="G297" s="528">
        <v>1.4887163647494227E-3</v>
      </c>
      <c r="H297" s="528">
        <v>0</v>
      </c>
      <c r="I297" s="528">
        <v>0</v>
      </c>
      <c r="J297" s="529">
        <v>4.6962032557090388E-2</v>
      </c>
      <c r="K297" s="529">
        <v>0</v>
      </c>
      <c r="L297" s="528">
        <v>3.2246432197045413E-2</v>
      </c>
      <c r="M297" s="528">
        <v>2.826690162145102E-2</v>
      </c>
      <c r="N297" s="528">
        <v>8.4133135001468531E-3</v>
      </c>
      <c r="O297" s="529">
        <v>2.9308881612600736E-2</v>
      </c>
      <c r="P297" s="529">
        <v>0</v>
      </c>
      <c r="Q297" s="528">
        <v>0</v>
      </c>
      <c r="R297" s="529">
        <v>0</v>
      </c>
      <c r="S297" s="529">
        <v>0</v>
      </c>
      <c r="T297" s="529">
        <v>0</v>
      </c>
      <c r="U297" s="529">
        <v>3.8056672800109742E-2</v>
      </c>
      <c r="V297" s="535"/>
    </row>
    <row r="298" spans="1:22">
      <c r="A298" s="530"/>
      <c r="B298" s="531" t="s">
        <v>750</v>
      </c>
      <c r="C298" s="532">
        <v>4.7892512347216282E-2</v>
      </c>
      <c r="D298" s="533">
        <v>1.6483407496545293E-2</v>
      </c>
      <c r="E298" s="533">
        <v>0</v>
      </c>
      <c r="F298" s="533">
        <v>3.7383177570093455E-2</v>
      </c>
      <c r="G298" s="533">
        <v>2.3851439604747572E-3</v>
      </c>
      <c r="H298" s="533">
        <v>0</v>
      </c>
      <c r="I298" s="533">
        <v>0</v>
      </c>
      <c r="J298" s="534">
        <v>4.2349122668549379E-2</v>
      </c>
      <c r="K298" s="534">
        <v>0</v>
      </c>
      <c r="L298" s="533">
        <v>5.1427682638562788E-2</v>
      </c>
      <c r="M298" s="533">
        <v>2.836834212039941E-2</v>
      </c>
      <c r="N298" s="533">
        <v>3.6041504637972571E-3</v>
      </c>
      <c r="O298" s="534">
        <v>3.9433125067263923E-2</v>
      </c>
      <c r="P298" s="534">
        <v>0</v>
      </c>
      <c r="Q298" s="533">
        <v>0</v>
      </c>
      <c r="R298" s="534">
        <v>0</v>
      </c>
      <c r="S298" s="534">
        <v>0</v>
      </c>
      <c r="T298" s="534">
        <v>0</v>
      </c>
      <c r="U298" s="534">
        <v>4.0884131275761897E-2</v>
      </c>
      <c r="V298" s="535"/>
    </row>
    <row r="299" spans="1:22" s="553" customFormat="1">
      <c r="A299" s="530"/>
      <c r="B299" s="536" t="s">
        <v>751</v>
      </c>
      <c r="C299" s="537">
        <v>-0.64080417531334199</v>
      </c>
      <c r="D299" s="538">
        <v>-0.5832395111228118</v>
      </c>
      <c r="E299" s="538">
        <v>0</v>
      </c>
      <c r="F299" s="538">
        <v>0.48451459534763486</v>
      </c>
      <c r="G299" s="538">
        <v>8.9642759572533454E-2</v>
      </c>
      <c r="H299" s="538">
        <v>0</v>
      </c>
      <c r="I299" s="538">
        <v>0</v>
      </c>
      <c r="J299" s="540">
        <v>-0.46129098885410103</v>
      </c>
      <c r="K299" s="540">
        <v>0</v>
      </c>
      <c r="L299" s="538">
        <v>1.9181250441517375</v>
      </c>
      <c r="M299" s="538">
        <v>1.014404989483908E-2</v>
      </c>
      <c r="N299" s="538">
        <v>-0.48091630363495963</v>
      </c>
      <c r="O299" s="540">
        <v>1.0124243454663187</v>
      </c>
      <c r="P299" s="540">
        <v>0</v>
      </c>
      <c r="Q299" s="538">
        <v>0</v>
      </c>
      <c r="R299" s="540">
        <v>0</v>
      </c>
      <c r="S299" s="540">
        <v>0</v>
      </c>
      <c r="T299" s="540">
        <v>0</v>
      </c>
      <c r="U299" s="540">
        <v>0.28274584756521548</v>
      </c>
      <c r="V299" s="535"/>
    </row>
    <row r="300" spans="1:22">
      <c r="A300" s="530"/>
      <c r="B300" s="508" t="s">
        <v>752</v>
      </c>
      <c r="C300" s="527">
        <v>0.11663275400888864</v>
      </c>
      <c r="D300" s="528">
        <v>0.2823445005926758</v>
      </c>
      <c r="E300" s="528">
        <v>0</v>
      </c>
      <c r="F300" s="528">
        <v>0.23179624639927032</v>
      </c>
      <c r="G300" s="528">
        <v>0.51456715919525842</v>
      </c>
      <c r="H300" s="528">
        <v>0</v>
      </c>
      <c r="I300" s="528">
        <v>0</v>
      </c>
      <c r="J300" s="529">
        <v>0.15975487746571446</v>
      </c>
      <c r="K300" s="529">
        <v>0</v>
      </c>
      <c r="L300" s="528">
        <v>0.27432690913224289</v>
      </c>
      <c r="M300" s="528">
        <v>0.24631721525978723</v>
      </c>
      <c r="N300" s="528">
        <v>0.18637194804210447</v>
      </c>
      <c r="O300" s="529">
        <v>0.25811545550394305</v>
      </c>
      <c r="P300" s="529">
        <v>0</v>
      </c>
      <c r="Q300" s="528">
        <v>0</v>
      </c>
      <c r="R300" s="529">
        <v>0</v>
      </c>
      <c r="S300" s="529">
        <v>0</v>
      </c>
      <c r="T300" s="529">
        <v>0</v>
      </c>
      <c r="U300" s="529">
        <v>0.20937414011686253</v>
      </c>
      <c r="V300" s="535"/>
    </row>
    <row r="301" spans="1:22">
      <c r="A301" s="530"/>
      <c r="B301" s="531" t="s">
        <v>753</v>
      </c>
      <c r="C301" s="532">
        <v>0.13954678035825907</v>
      </c>
      <c r="D301" s="533">
        <v>0.30900603664301818</v>
      </c>
      <c r="E301" s="533">
        <v>0</v>
      </c>
      <c r="F301" s="533">
        <v>0.24407886314172322</v>
      </c>
      <c r="G301" s="533">
        <v>0.52488784144471579</v>
      </c>
      <c r="H301" s="533">
        <v>0</v>
      </c>
      <c r="I301" s="533">
        <v>0</v>
      </c>
      <c r="J301" s="534">
        <v>0.18043381658912733</v>
      </c>
      <c r="K301" s="534">
        <v>0</v>
      </c>
      <c r="L301" s="533">
        <v>0.28215926720679058</v>
      </c>
      <c r="M301" s="533">
        <v>0.26259047755678383</v>
      </c>
      <c r="N301" s="533">
        <v>0.24475975491776847</v>
      </c>
      <c r="O301" s="534">
        <v>0.27216015052127202</v>
      </c>
      <c r="P301" s="534">
        <v>0</v>
      </c>
      <c r="Q301" s="533">
        <v>0</v>
      </c>
      <c r="R301" s="534">
        <v>0</v>
      </c>
      <c r="S301" s="534">
        <v>0</v>
      </c>
      <c r="T301" s="534">
        <v>0</v>
      </c>
      <c r="U301" s="534">
        <v>0.22651694424441224</v>
      </c>
      <c r="V301" s="535"/>
    </row>
    <row r="302" spans="1:22" s="553" customFormat="1">
      <c r="A302" s="530"/>
      <c r="B302" s="536" t="s">
        <v>754</v>
      </c>
      <c r="C302" s="537">
        <v>2.2914026349370427</v>
      </c>
      <c r="D302" s="538">
        <v>2.6661536050342383</v>
      </c>
      <c r="E302" s="538">
        <v>0</v>
      </c>
      <c r="F302" s="538">
        <v>1.2282616742452901</v>
      </c>
      <c r="G302" s="538">
        <v>1.0320682249457369</v>
      </c>
      <c r="H302" s="538">
        <v>0</v>
      </c>
      <c r="I302" s="538">
        <v>0</v>
      </c>
      <c r="J302" s="540">
        <v>2.0678939123412872</v>
      </c>
      <c r="K302" s="540">
        <v>0</v>
      </c>
      <c r="L302" s="538">
        <v>0.78323580745476851</v>
      </c>
      <c r="M302" s="538">
        <v>1.6273262296996605</v>
      </c>
      <c r="N302" s="538">
        <v>5.8387806875664001</v>
      </c>
      <c r="O302" s="540">
        <v>1.4044695017328968</v>
      </c>
      <c r="P302" s="540">
        <v>0</v>
      </c>
      <c r="Q302" s="538">
        <v>0</v>
      </c>
      <c r="R302" s="540">
        <v>0</v>
      </c>
      <c r="S302" s="540">
        <v>0</v>
      </c>
      <c r="T302" s="540">
        <v>0</v>
      </c>
      <c r="U302" s="540">
        <v>1.7142804127549705</v>
      </c>
      <c r="V302" s="535"/>
    </row>
    <row r="303" spans="1:22">
      <c r="A303" s="530"/>
      <c r="B303" s="508" t="s">
        <v>755</v>
      </c>
      <c r="C303" s="527">
        <v>1.2090496656266469E-2</v>
      </c>
      <c r="D303" s="528">
        <v>0</v>
      </c>
      <c r="E303" s="528">
        <v>0</v>
      </c>
      <c r="F303" s="528">
        <v>0</v>
      </c>
      <c r="G303" s="528">
        <v>0</v>
      </c>
      <c r="H303" s="528">
        <v>0</v>
      </c>
      <c r="I303" s="528">
        <v>0</v>
      </c>
      <c r="J303" s="529">
        <v>9.1737475406262117E-3</v>
      </c>
      <c r="K303" s="529">
        <v>0</v>
      </c>
      <c r="L303" s="528">
        <v>0</v>
      </c>
      <c r="M303" s="528">
        <v>0</v>
      </c>
      <c r="N303" s="528">
        <v>0</v>
      </c>
      <c r="O303" s="529">
        <v>0</v>
      </c>
      <c r="P303" s="529">
        <v>0</v>
      </c>
      <c r="Q303" s="528">
        <v>0</v>
      </c>
      <c r="R303" s="529">
        <v>0</v>
      </c>
      <c r="S303" s="529">
        <v>0</v>
      </c>
      <c r="T303" s="529">
        <v>0</v>
      </c>
      <c r="U303" s="529">
        <v>4.5459322329859794E-3</v>
      </c>
      <c r="V303" s="535"/>
    </row>
    <row r="304" spans="1:22">
      <c r="A304" s="530"/>
      <c r="B304" s="531" t="s">
        <v>756</v>
      </c>
      <c r="C304" s="532">
        <v>9.8046936804815008E-3</v>
      </c>
      <c r="D304" s="533">
        <v>0</v>
      </c>
      <c r="E304" s="533">
        <v>0</v>
      </c>
      <c r="F304" s="533">
        <v>0</v>
      </c>
      <c r="G304" s="533">
        <v>0</v>
      </c>
      <c r="H304" s="533">
        <v>0</v>
      </c>
      <c r="I304" s="533">
        <v>0</v>
      </c>
      <c r="J304" s="534">
        <v>7.4704808159090589E-3</v>
      </c>
      <c r="K304" s="534">
        <v>0</v>
      </c>
      <c r="L304" s="533">
        <v>0</v>
      </c>
      <c r="M304" s="533">
        <v>0</v>
      </c>
      <c r="N304" s="533">
        <v>0</v>
      </c>
      <c r="O304" s="534">
        <v>0</v>
      </c>
      <c r="P304" s="534">
        <v>0</v>
      </c>
      <c r="Q304" s="533">
        <v>0</v>
      </c>
      <c r="R304" s="534">
        <v>0</v>
      </c>
      <c r="S304" s="534">
        <v>0</v>
      </c>
      <c r="T304" s="534">
        <v>0</v>
      </c>
      <c r="U304" s="534">
        <v>3.7173261183653236E-3</v>
      </c>
      <c r="V304" s="535"/>
    </row>
    <row r="305" spans="1:22" s="553" customFormat="1">
      <c r="A305" s="530"/>
      <c r="B305" s="536" t="s">
        <v>757</v>
      </c>
      <c r="C305" s="537">
        <v>-0.22858029757849685</v>
      </c>
      <c r="D305" s="538">
        <v>0</v>
      </c>
      <c r="E305" s="538">
        <v>0</v>
      </c>
      <c r="F305" s="538">
        <v>0</v>
      </c>
      <c r="G305" s="538">
        <v>0</v>
      </c>
      <c r="H305" s="538">
        <v>0</v>
      </c>
      <c r="I305" s="538">
        <v>0</v>
      </c>
      <c r="J305" s="540">
        <v>-0.17032667247171529</v>
      </c>
      <c r="K305" s="540">
        <v>0</v>
      </c>
      <c r="L305" s="538">
        <v>0</v>
      </c>
      <c r="M305" s="538">
        <v>0</v>
      </c>
      <c r="N305" s="538">
        <v>0</v>
      </c>
      <c r="O305" s="540">
        <v>0</v>
      </c>
      <c r="P305" s="540">
        <v>0</v>
      </c>
      <c r="Q305" s="538">
        <v>0</v>
      </c>
      <c r="R305" s="540">
        <v>0</v>
      </c>
      <c r="S305" s="540">
        <v>0</v>
      </c>
      <c r="T305" s="540">
        <v>0</v>
      </c>
      <c r="U305" s="540">
        <v>-8.2860611462065581E-2</v>
      </c>
      <c r="V305" s="535"/>
    </row>
    <row r="306" spans="1:22">
      <c r="A306" s="530"/>
      <c r="B306" s="508" t="s">
        <v>758</v>
      </c>
      <c r="C306" s="527">
        <v>0</v>
      </c>
      <c r="D306" s="528">
        <v>0</v>
      </c>
      <c r="E306" s="528">
        <v>0</v>
      </c>
      <c r="F306" s="528">
        <v>0</v>
      </c>
      <c r="G306" s="528">
        <v>0</v>
      </c>
      <c r="H306" s="528">
        <v>0</v>
      </c>
      <c r="I306" s="528">
        <v>0</v>
      </c>
      <c r="J306" s="529">
        <v>0</v>
      </c>
      <c r="K306" s="529">
        <v>0</v>
      </c>
      <c r="L306" s="528">
        <v>0</v>
      </c>
      <c r="M306" s="528">
        <v>0</v>
      </c>
      <c r="N306" s="528">
        <v>0</v>
      </c>
      <c r="O306" s="529">
        <v>0</v>
      </c>
      <c r="P306" s="529">
        <v>0</v>
      </c>
      <c r="Q306" s="528">
        <v>0</v>
      </c>
      <c r="R306" s="529">
        <v>0</v>
      </c>
      <c r="S306" s="529">
        <v>0</v>
      </c>
      <c r="T306" s="529">
        <v>0</v>
      </c>
      <c r="U306" s="529">
        <v>0</v>
      </c>
      <c r="V306" s="535"/>
    </row>
    <row r="307" spans="1:22">
      <c r="A307" s="530"/>
      <c r="B307" s="531" t="s">
        <v>759</v>
      </c>
      <c r="C307" s="532">
        <v>4.2570491412467622E-6</v>
      </c>
      <c r="D307" s="533">
        <v>0</v>
      </c>
      <c r="E307" s="533">
        <v>0</v>
      </c>
      <c r="F307" s="533">
        <v>5.4867677451213489E-5</v>
      </c>
      <c r="G307" s="533">
        <v>0</v>
      </c>
      <c r="H307" s="533">
        <v>0</v>
      </c>
      <c r="I307" s="533">
        <v>0</v>
      </c>
      <c r="J307" s="534">
        <v>9.7307080603779621E-6</v>
      </c>
      <c r="K307" s="534">
        <v>0</v>
      </c>
      <c r="L307" s="533">
        <v>0</v>
      </c>
      <c r="M307" s="533">
        <v>0</v>
      </c>
      <c r="N307" s="533">
        <v>0</v>
      </c>
      <c r="O307" s="534">
        <v>0</v>
      </c>
      <c r="P307" s="534">
        <v>0</v>
      </c>
      <c r="Q307" s="533">
        <v>0</v>
      </c>
      <c r="R307" s="534">
        <v>0</v>
      </c>
      <c r="S307" s="534">
        <v>0</v>
      </c>
      <c r="T307" s="534">
        <v>0</v>
      </c>
      <c r="U307" s="534">
        <v>4.842019692494089E-6</v>
      </c>
      <c r="V307" s="535"/>
    </row>
    <row r="308" spans="1:22" s="553" customFormat="1">
      <c r="A308" s="530"/>
      <c r="B308" s="536" t="s">
        <v>760</v>
      </c>
      <c r="C308" s="537">
        <v>0</v>
      </c>
      <c r="D308" s="538">
        <v>0</v>
      </c>
      <c r="E308" s="538">
        <v>0</v>
      </c>
      <c r="F308" s="538">
        <v>0</v>
      </c>
      <c r="G308" s="538">
        <v>0</v>
      </c>
      <c r="H308" s="538">
        <v>0</v>
      </c>
      <c r="I308" s="538">
        <v>0</v>
      </c>
      <c r="J308" s="540">
        <v>0</v>
      </c>
      <c r="K308" s="540">
        <v>0</v>
      </c>
      <c r="L308" s="538">
        <v>0</v>
      </c>
      <c r="M308" s="538">
        <v>0</v>
      </c>
      <c r="N308" s="538">
        <v>0</v>
      </c>
      <c r="O308" s="540">
        <v>0</v>
      </c>
      <c r="P308" s="540">
        <v>0</v>
      </c>
      <c r="Q308" s="538">
        <v>0</v>
      </c>
      <c r="R308" s="540">
        <v>0</v>
      </c>
      <c r="S308" s="540">
        <v>0</v>
      </c>
      <c r="T308" s="540">
        <v>0</v>
      </c>
      <c r="U308" s="540">
        <v>0</v>
      </c>
      <c r="V308" s="535"/>
    </row>
    <row r="309" spans="1:22">
      <c r="A309" s="530"/>
      <c r="B309" s="508" t="s">
        <v>761</v>
      </c>
      <c r="C309" s="527">
        <v>1.8555356338940715E-3</v>
      </c>
      <c r="D309" s="528">
        <v>0</v>
      </c>
      <c r="E309" s="528">
        <v>0</v>
      </c>
      <c r="F309" s="528">
        <v>3.6437755657624704E-3</v>
      </c>
      <c r="G309" s="528">
        <v>0</v>
      </c>
      <c r="H309" s="528">
        <v>0</v>
      </c>
      <c r="I309" s="528">
        <v>0</v>
      </c>
      <c r="J309" s="529">
        <v>1.8304324504590651E-3</v>
      </c>
      <c r="K309" s="529">
        <v>0</v>
      </c>
      <c r="L309" s="528">
        <v>0</v>
      </c>
      <c r="M309" s="528">
        <v>0</v>
      </c>
      <c r="N309" s="528">
        <v>0</v>
      </c>
      <c r="O309" s="529">
        <v>0</v>
      </c>
      <c r="P309" s="529">
        <v>0</v>
      </c>
      <c r="Q309" s="528">
        <v>0</v>
      </c>
      <c r="R309" s="529">
        <v>0</v>
      </c>
      <c r="S309" s="529">
        <v>0</v>
      </c>
      <c r="T309" s="529">
        <v>0</v>
      </c>
      <c r="U309" s="529">
        <v>9.0704718436990836E-4</v>
      </c>
      <c r="V309" s="535"/>
    </row>
    <row r="310" spans="1:22">
      <c r="A310" s="530"/>
      <c r="B310" s="531" t="s">
        <v>762</v>
      </c>
      <c r="C310" s="532">
        <v>3.1168694795828374E-3</v>
      </c>
      <c r="D310" s="533">
        <v>0</v>
      </c>
      <c r="E310" s="533">
        <v>0</v>
      </c>
      <c r="F310" s="533">
        <v>4.087641970115405E-3</v>
      </c>
      <c r="G310" s="533">
        <v>0</v>
      </c>
      <c r="H310" s="533">
        <v>0</v>
      </c>
      <c r="I310" s="533">
        <v>0</v>
      </c>
      <c r="J310" s="534">
        <v>2.8581251952899049E-3</v>
      </c>
      <c r="K310" s="534">
        <v>0</v>
      </c>
      <c r="L310" s="533">
        <v>0</v>
      </c>
      <c r="M310" s="533">
        <v>0</v>
      </c>
      <c r="N310" s="533">
        <v>0</v>
      </c>
      <c r="O310" s="534">
        <v>0</v>
      </c>
      <c r="P310" s="534">
        <v>0</v>
      </c>
      <c r="Q310" s="533">
        <v>0</v>
      </c>
      <c r="R310" s="534">
        <v>0</v>
      </c>
      <c r="S310" s="534">
        <v>0</v>
      </c>
      <c r="T310" s="534">
        <v>0</v>
      </c>
      <c r="U310" s="534">
        <v>1.422208784123125E-3</v>
      </c>
      <c r="V310" s="535"/>
    </row>
    <row r="311" spans="1:22" s="553" customFormat="1" ht="15.75" thickBot="1">
      <c r="A311" s="530"/>
      <c r="B311" s="542" t="s">
        <v>763</v>
      </c>
      <c r="C311" s="543">
        <v>0.1261333845688766</v>
      </c>
      <c r="D311" s="544">
        <v>0</v>
      </c>
      <c r="E311" s="544">
        <v>0</v>
      </c>
      <c r="F311" s="544">
        <v>4.4386640435293459E-2</v>
      </c>
      <c r="G311" s="544">
        <v>0</v>
      </c>
      <c r="H311" s="544">
        <v>0</v>
      </c>
      <c r="I311" s="544">
        <v>0</v>
      </c>
      <c r="J311" s="545">
        <v>0.10276927448308398</v>
      </c>
      <c r="K311" s="545">
        <v>0</v>
      </c>
      <c r="L311" s="544">
        <v>0</v>
      </c>
      <c r="M311" s="544">
        <v>0</v>
      </c>
      <c r="N311" s="544">
        <v>0</v>
      </c>
      <c r="O311" s="545">
        <v>0</v>
      </c>
      <c r="P311" s="545">
        <v>0</v>
      </c>
      <c r="Q311" s="544">
        <v>0</v>
      </c>
      <c r="R311" s="545">
        <v>0</v>
      </c>
      <c r="S311" s="545">
        <v>0</v>
      </c>
      <c r="T311" s="545">
        <v>0</v>
      </c>
      <c r="U311" s="545">
        <v>5.151615997532167E-2</v>
      </c>
      <c r="V311" s="535"/>
    </row>
    <row r="312" spans="1:22" ht="15.75" thickTop="1">
      <c r="A312" s="530"/>
      <c r="B312" s="531" t="s">
        <v>764</v>
      </c>
      <c r="C312" s="532">
        <v>0.73195804921948016</v>
      </c>
      <c r="D312" s="533">
        <v>0.35000157445602542</v>
      </c>
      <c r="E312" s="533">
        <v>0</v>
      </c>
      <c r="F312" s="533">
        <v>0.20480284155255843</v>
      </c>
      <c r="G312" s="533">
        <v>0.5382960413080895</v>
      </c>
      <c r="H312" s="533">
        <v>0</v>
      </c>
      <c r="I312" s="533">
        <v>0</v>
      </c>
      <c r="J312" s="534">
        <v>0.59716093530649272</v>
      </c>
      <c r="K312" s="534">
        <v>0</v>
      </c>
      <c r="L312" s="533">
        <v>0</v>
      </c>
      <c r="M312" s="533">
        <v>0</v>
      </c>
      <c r="N312" s="533">
        <v>0</v>
      </c>
      <c r="O312" s="534">
        <v>0</v>
      </c>
      <c r="P312" s="534">
        <v>0</v>
      </c>
      <c r="Q312" s="533">
        <v>0</v>
      </c>
      <c r="R312" s="534">
        <v>0</v>
      </c>
      <c r="S312" s="534">
        <v>0</v>
      </c>
      <c r="T312" s="534">
        <v>0</v>
      </c>
      <c r="U312" s="534">
        <v>0.59716093530649272</v>
      </c>
      <c r="V312" s="535"/>
    </row>
    <row r="313" spans="1:22">
      <c r="A313" s="530"/>
      <c r="B313" s="531" t="s">
        <v>765</v>
      </c>
      <c r="C313" s="532">
        <v>0.71888324347340737</v>
      </c>
      <c r="D313" s="533">
        <v>0.33298122465669405</v>
      </c>
      <c r="E313" s="533">
        <v>0</v>
      </c>
      <c r="F313" s="533">
        <v>0.19958373178826574</v>
      </c>
      <c r="G313" s="533">
        <v>0.56764168190127973</v>
      </c>
      <c r="H313" s="533">
        <v>0</v>
      </c>
      <c r="I313" s="533">
        <v>0</v>
      </c>
      <c r="J313" s="534">
        <v>0.59360832037389022</v>
      </c>
      <c r="K313" s="534">
        <v>0</v>
      </c>
      <c r="L313" s="533">
        <v>0</v>
      </c>
      <c r="M313" s="533">
        <v>0</v>
      </c>
      <c r="N313" s="533">
        <v>0</v>
      </c>
      <c r="O313" s="534">
        <v>0</v>
      </c>
      <c r="P313" s="534">
        <v>0</v>
      </c>
      <c r="Q313" s="533">
        <v>0</v>
      </c>
      <c r="R313" s="534">
        <v>0</v>
      </c>
      <c r="S313" s="534">
        <v>0</v>
      </c>
      <c r="T313" s="534">
        <v>0</v>
      </c>
      <c r="U313" s="534">
        <v>0.59360832037389022</v>
      </c>
      <c r="V313" s="535"/>
    </row>
    <row r="314" spans="1:22" s="553" customFormat="1">
      <c r="A314" s="530"/>
      <c r="B314" s="536" t="s">
        <v>766</v>
      </c>
      <c r="C314" s="537">
        <v>-1.3074805746072782</v>
      </c>
      <c r="D314" s="538">
        <v>-1.7020349799331369</v>
      </c>
      <c r="E314" s="538">
        <v>0</v>
      </c>
      <c r="F314" s="538">
        <v>-0.52191097642926843</v>
      </c>
      <c r="G314" s="538">
        <v>2.9345640593190225</v>
      </c>
      <c r="H314" s="538">
        <v>0</v>
      </c>
      <c r="I314" s="538">
        <v>0</v>
      </c>
      <c r="J314" s="540">
        <v>-0.35526149326025047</v>
      </c>
      <c r="K314" s="540">
        <v>0</v>
      </c>
      <c r="L314" s="538">
        <v>0</v>
      </c>
      <c r="M314" s="538">
        <v>0</v>
      </c>
      <c r="N314" s="538">
        <v>0</v>
      </c>
      <c r="O314" s="540">
        <v>0</v>
      </c>
      <c r="P314" s="540">
        <v>0</v>
      </c>
      <c r="Q314" s="538">
        <v>0</v>
      </c>
      <c r="R314" s="540">
        <v>0</v>
      </c>
      <c r="S314" s="540">
        <v>0</v>
      </c>
      <c r="T314" s="540">
        <v>0</v>
      </c>
      <c r="U314" s="540">
        <v>-0.35526149326025047</v>
      </c>
      <c r="V314" s="535"/>
    </row>
    <row r="315" spans="1:22">
      <c r="A315" s="530"/>
      <c r="B315" s="508" t="s">
        <v>767</v>
      </c>
      <c r="C315" s="527">
        <v>4.0018229437079597E-2</v>
      </c>
      <c r="D315" s="528">
        <v>0.20546651132033883</v>
      </c>
      <c r="E315" s="528">
        <v>0</v>
      </c>
      <c r="F315" s="528">
        <v>4.7101822300010298E-3</v>
      </c>
      <c r="G315" s="528">
        <v>0.12069707401032702</v>
      </c>
      <c r="H315" s="528">
        <v>0</v>
      </c>
      <c r="I315" s="528">
        <v>0</v>
      </c>
      <c r="J315" s="529">
        <v>5.7143316854583411E-2</v>
      </c>
      <c r="K315" s="529">
        <v>0</v>
      </c>
      <c r="L315" s="528">
        <v>0</v>
      </c>
      <c r="M315" s="528">
        <v>0</v>
      </c>
      <c r="N315" s="528">
        <v>0</v>
      </c>
      <c r="O315" s="529">
        <v>0</v>
      </c>
      <c r="P315" s="529">
        <v>0</v>
      </c>
      <c r="Q315" s="528">
        <v>0</v>
      </c>
      <c r="R315" s="529">
        <v>0</v>
      </c>
      <c r="S315" s="529">
        <v>0</v>
      </c>
      <c r="T315" s="529">
        <v>0</v>
      </c>
      <c r="U315" s="529">
        <v>5.7143316854583411E-2</v>
      </c>
      <c r="V315" s="535"/>
    </row>
    <row r="316" spans="1:22">
      <c r="A316" s="530"/>
      <c r="B316" s="531" t="s">
        <v>768</v>
      </c>
      <c r="C316" s="532">
        <v>3.9893203827630057E-2</v>
      </c>
      <c r="D316" s="533">
        <v>0.18407332947149624</v>
      </c>
      <c r="E316" s="533">
        <v>0</v>
      </c>
      <c r="F316" s="533">
        <v>2.1938459807616583E-3</v>
      </c>
      <c r="G316" s="533">
        <v>4.3875685557586835E-2</v>
      </c>
      <c r="H316" s="533">
        <v>0</v>
      </c>
      <c r="I316" s="533">
        <v>0</v>
      </c>
      <c r="J316" s="534">
        <v>5.185834300148931E-2</v>
      </c>
      <c r="K316" s="534">
        <v>0</v>
      </c>
      <c r="L316" s="533">
        <v>0</v>
      </c>
      <c r="M316" s="533">
        <v>0</v>
      </c>
      <c r="N316" s="533">
        <v>0</v>
      </c>
      <c r="O316" s="534">
        <v>0</v>
      </c>
      <c r="P316" s="534">
        <v>0</v>
      </c>
      <c r="Q316" s="533">
        <v>0</v>
      </c>
      <c r="R316" s="534">
        <v>0</v>
      </c>
      <c r="S316" s="534">
        <v>0</v>
      </c>
      <c r="T316" s="534">
        <v>0</v>
      </c>
      <c r="U316" s="534">
        <v>5.185834300148931E-2</v>
      </c>
      <c r="V316" s="535"/>
    </row>
    <row r="317" spans="1:22" s="553" customFormat="1">
      <c r="A317" s="530"/>
      <c r="B317" s="536" t="s">
        <v>769</v>
      </c>
      <c r="C317" s="537">
        <v>-1.2502560944954028E-2</v>
      </c>
      <c r="D317" s="538">
        <v>-2.1393181848842593</v>
      </c>
      <c r="E317" s="538">
        <v>0</v>
      </c>
      <c r="F317" s="538">
        <v>-0.25163362492393715</v>
      </c>
      <c r="G317" s="538">
        <v>-7.682138845274018</v>
      </c>
      <c r="H317" s="538">
        <v>0</v>
      </c>
      <c r="I317" s="538">
        <v>0</v>
      </c>
      <c r="J317" s="540">
        <v>-0.52849738530941004</v>
      </c>
      <c r="K317" s="540">
        <v>0</v>
      </c>
      <c r="L317" s="538">
        <v>0</v>
      </c>
      <c r="M317" s="538">
        <v>0</v>
      </c>
      <c r="N317" s="538">
        <v>0</v>
      </c>
      <c r="O317" s="540">
        <v>0</v>
      </c>
      <c r="P317" s="540">
        <v>0</v>
      </c>
      <c r="Q317" s="538">
        <v>0</v>
      </c>
      <c r="R317" s="540">
        <v>0</v>
      </c>
      <c r="S317" s="540">
        <v>0</v>
      </c>
      <c r="T317" s="540">
        <v>0</v>
      </c>
      <c r="U317" s="540">
        <v>-0.52849738530941004</v>
      </c>
      <c r="V317" s="535"/>
    </row>
    <row r="318" spans="1:22">
      <c r="A318" s="530"/>
      <c r="B318" s="508" t="s">
        <v>770</v>
      </c>
      <c r="C318" s="527">
        <v>0.21578807702514047</v>
      </c>
      <c r="D318" s="528">
        <v>0.44453191422363575</v>
      </c>
      <c r="E318" s="528">
        <v>0</v>
      </c>
      <c r="F318" s="528">
        <v>0.78832492535776799</v>
      </c>
      <c r="G318" s="528">
        <v>0.34100688468158347</v>
      </c>
      <c r="H318" s="528">
        <v>0</v>
      </c>
      <c r="I318" s="528">
        <v>0</v>
      </c>
      <c r="J318" s="529">
        <v>0.33682618472021658</v>
      </c>
      <c r="K318" s="529">
        <v>0</v>
      </c>
      <c r="L318" s="528">
        <v>0</v>
      </c>
      <c r="M318" s="528">
        <v>0</v>
      </c>
      <c r="N318" s="528">
        <v>0</v>
      </c>
      <c r="O318" s="529">
        <v>0</v>
      </c>
      <c r="P318" s="529">
        <v>0</v>
      </c>
      <c r="Q318" s="528">
        <v>0</v>
      </c>
      <c r="R318" s="529">
        <v>0</v>
      </c>
      <c r="S318" s="529">
        <v>0</v>
      </c>
      <c r="T318" s="529">
        <v>0</v>
      </c>
      <c r="U318" s="529">
        <v>0.33682618472021658</v>
      </c>
      <c r="V318" s="535"/>
    </row>
    <row r="319" spans="1:22">
      <c r="A319" s="530"/>
      <c r="B319" s="531" t="s">
        <v>771</v>
      </c>
      <c r="C319" s="532">
        <v>0.23015265638216459</v>
      </c>
      <c r="D319" s="533">
        <v>0.48294544587180971</v>
      </c>
      <c r="E319" s="533">
        <v>0</v>
      </c>
      <c r="F319" s="533">
        <v>0.7951847893345334</v>
      </c>
      <c r="G319" s="533">
        <v>0.38848263254113347</v>
      </c>
      <c r="H319" s="533">
        <v>0</v>
      </c>
      <c r="I319" s="533">
        <v>0</v>
      </c>
      <c r="J319" s="534">
        <v>0.34617346728871995</v>
      </c>
      <c r="K319" s="534">
        <v>0</v>
      </c>
      <c r="L319" s="533">
        <v>0</v>
      </c>
      <c r="M319" s="533">
        <v>0</v>
      </c>
      <c r="N319" s="533">
        <v>0</v>
      </c>
      <c r="O319" s="534">
        <v>0</v>
      </c>
      <c r="P319" s="534">
        <v>0</v>
      </c>
      <c r="Q319" s="533">
        <v>0</v>
      </c>
      <c r="R319" s="534">
        <v>0</v>
      </c>
      <c r="S319" s="534">
        <v>0</v>
      </c>
      <c r="T319" s="534">
        <v>0</v>
      </c>
      <c r="U319" s="534">
        <v>0.34617346728871995</v>
      </c>
      <c r="V319" s="535"/>
    </row>
    <row r="320" spans="1:22" s="553" customFormat="1">
      <c r="A320" s="530"/>
      <c r="B320" s="536" t="s">
        <v>772</v>
      </c>
      <c r="C320" s="537">
        <v>1.4364579357024121</v>
      </c>
      <c r="D320" s="538">
        <v>3.841353164817396</v>
      </c>
      <c r="E320" s="538">
        <v>0</v>
      </c>
      <c r="F320" s="538">
        <v>0.68598639767654124</v>
      </c>
      <c r="G320" s="538">
        <v>4.7475747859549999</v>
      </c>
      <c r="H320" s="538">
        <v>0</v>
      </c>
      <c r="I320" s="538">
        <v>0</v>
      </c>
      <c r="J320" s="540">
        <v>0.93472825685033678</v>
      </c>
      <c r="K320" s="540">
        <v>0</v>
      </c>
      <c r="L320" s="538">
        <v>0</v>
      </c>
      <c r="M320" s="538">
        <v>0</v>
      </c>
      <c r="N320" s="538">
        <v>0</v>
      </c>
      <c r="O320" s="540">
        <v>0</v>
      </c>
      <c r="P320" s="540">
        <v>0</v>
      </c>
      <c r="Q320" s="538">
        <v>0</v>
      </c>
      <c r="R320" s="540">
        <v>0</v>
      </c>
      <c r="S320" s="540">
        <v>0</v>
      </c>
      <c r="T320" s="540">
        <v>0</v>
      </c>
      <c r="U320" s="540">
        <v>0.93472825685033678</v>
      </c>
      <c r="V320" s="535"/>
    </row>
    <row r="321" spans="1:22">
      <c r="A321" s="530"/>
      <c r="B321" s="508" t="s">
        <v>773</v>
      </c>
      <c r="C321" s="527">
        <v>1.157800006922571E-2</v>
      </c>
      <c r="D321" s="528">
        <v>0</v>
      </c>
      <c r="E321" s="528">
        <v>0</v>
      </c>
      <c r="F321" s="528">
        <v>0</v>
      </c>
      <c r="G321" s="528">
        <v>0</v>
      </c>
      <c r="H321" s="528">
        <v>0</v>
      </c>
      <c r="I321" s="528">
        <v>0</v>
      </c>
      <c r="J321" s="529">
        <v>8.0731125529458613E-3</v>
      </c>
      <c r="K321" s="529">
        <v>0</v>
      </c>
      <c r="L321" s="528">
        <v>0</v>
      </c>
      <c r="M321" s="528">
        <v>0</v>
      </c>
      <c r="N321" s="528">
        <v>0</v>
      </c>
      <c r="O321" s="529">
        <v>0</v>
      </c>
      <c r="P321" s="529">
        <v>0</v>
      </c>
      <c r="Q321" s="528">
        <v>0</v>
      </c>
      <c r="R321" s="529">
        <v>0</v>
      </c>
      <c r="S321" s="529">
        <v>0</v>
      </c>
      <c r="T321" s="529">
        <v>0</v>
      </c>
      <c r="U321" s="529">
        <v>8.0731125529458613E-3</v>
      </c>
      <c r="V321" s="535"/>
    </row>
    <row r="322" spans="1:22">
      <c r="A322" s="530"/>
      <c r="B322" s="531" t="s">
        <v>774</v>
      </c>
      <c r="C322" s="532">
        <v>1.0748666486371404E-2</v>
      </c>
      <c r="D322" s="533">
        <v>0</v>
      </c>
      <c r="E322" s="533">
        <v>0</v>
      </c>
      <c r="F322" s="533">
        <v>0</v>
      </c>
      <c r="G322" s="533">
        <v>0</v>
      </c>
      <c r="H322" s="533">
        <v>0</v>
      </c>
      <c r="I322" s="533">
        <v>0</v>
      </c>
      <c r="J322" s="534">
        <v>7.6851554721762815E-3</v>
      </c>
      <c r="K322" s="534">
        <v>0</v>
      </c>
      <c r="L322" s="533">
        <v>0</v>
      </c>
      <c r="M322" s="533">
        <v>0</v>
      </c>
      <c r="N322" s="533">
        <v>0</v>
      </c>
      <c r="O322" s="534">
        <v>0</v>
      </c>
      <c r="P322" s="534">
        <v>0</v>
      </c>
      <c r="Q322" s="533">
        <v>0</v>
      </c>
      <c r="R322" s="534">
        <v>0</v>
      </c>
      <c r="S322" s="534">
        <v>0</v>
      </c>
      <c r="T322" s="534">
        <v>0</v>
      </c>
      <c r="U322" s="534">
        <v>7.6851554721762815E-3</v>
      </c>
      <c r="V322" s="535"/>
    </row>
    <row r="323" spans="1:22" s="553" customFormat="1">
      <c r="A323" s="530"/>
      <c r="B323" s="536" t="s">
        <v>775</v>
      </c>
      <c r="C323" s="537">
        <v>-8.2933358285430636E-2</v>
      </c>
      <c r="D323" s="538">
        <v>0</v>
      </c>
      <c r="E323" s="538">
        <v>0</v>
      </c>
      <c r="F323" s="538">
        <v>0</v>
      </c>
      <c r="G323" s="538">
        <v>0</v>
      </c>
      <c r="H323" s="538">
        <v>0</v>
      </c>
      <c r="I323" s="538">
        <v>0</v>
      </c>
      <c r="J323" s="540">
        <v>-3.879570807695798E-2</v>
      </c>
      <c r="K323" s="540">
        <v>0</v>
      </c>
      <c r="L323" s="538">
        <v>0</v>
      </c>
      <c r="M323" s="538">
        <v>0</v>
      </c>
      <c r="N323" s="538">
        <v>0</v>
      </c>
      <c r="O323" s="540">
        <v>0</v>
      </c>
      <c r="P323" s="540">
        <v>0</v>
      </c>
      <c r="Q323" s="538">
        <v>0</v>
      </c>
      <c r="R323" s="540">
        <v>0</v>
      </c>
      <c r="S323" s="540">
        <v>0</v>
      </c>
      <c r="T323" s="540">
        <v>0</v>
      </c>
      <c r="U323" s="540">
        <v>-3.879570807695798E-2</v>
      </c>
      <c r="V323" s="535"/>
    </row>
    <row r="324" spans="1:22">
      <c r="A324" s="530"/>
      <c r="B324" s="508" t="s">
        <v>776</v>
      </c>
      <c r="C324" s="527">
        <v>0</v>
      </c>
      <c r="D324" s="528">
        <v>0</v>
      </c>
      <c r="E324" s="528">
        <v>0</v>
      </c>
      <c r="F324" s="528">
        <v>7.7216102131164423E-4</v>
      </c>
      <c r="G324" s="528">
        <v>0</v>
      </c>
      <c r="H324" s="528">
        <v>0</v>
      </c>
      <c r="I324" s="528">
        <v>0</v>
      </c>
      <c r="J324" s="529">
        <v>1.2067432814567805E-4</v>
      </c>
      <c r="K324" s="529">
        <v>0</v>
      </c>
      <c r="L324" s="528">
        <v>0</v>
      </c>
      <c r="M324" s="528">
        <v>0</v>
      </c>
      <c r="N324" s="528">
        <v>0</v>
      </c>
      <c r="O324" s="529">
        <v>0</v>
      </c>
      <c r="P324" s="529">
        <v>0</v>
      </c>
      <c r="Q324" s="528">
        <v>0</v>
      </c>
      <c r="R324" s="529">
        <v>0</v>
      </c>
      <c r="S324" s="529">
        <v>0</v>
      </c>
      <c r="T324" s="529">
        <v>0</v>
      </c>
      <c r="U324" s="529">
        <v>1.2067432814567805E-4</v>
      </c>
      <c r="V324" s="535"/>
    </row>
    <row r="325" spans="1:22">
      <c r="A325" s="530"/>
      <c r="B325" s="531" t="s">
        <v>777</v>
      </c>
      <c r="C325" s="532">
        <v>0</v>
      </c>
      <c r="D325" s="533">
        <v>0</v>
      </c>
      <c r="E325" s="533">
        <v>0</v>
      </c>
      <c r="F325" s="533">
        <v>7.5940822410980476E-4</v>
      </c>
      <c r="G325" s="533">
        <v>0</v>
      </c>
      <c r="H325" s="533">
        <v>0</v>
      </c>
      <c r="I325" s="533">
        <v>0</v>
      </c>
      <c r="J325" s="534">
        <v>1.1108094097899336E-4</v>
      </c>
      <c r="K325" s="534">
        <v>0</v>
      </c>
      <c r="L325" s="533">
        <v>0</v>
      </c>
      <c r="M325" s="533">
        <v>0</v>
      </c>
      <c r="N325" s="533">
        <v>0</v>
      </c>
      <c r="O325" s="534">
        <v>0</v>
      </c>
      <c r="P325" s="534">
        <v>0</v>
      </c>
      <c r="Q325" s="533">
        <v>0</v>
      </c>
      <c r="R325" s="534">
        <v>0</v>
      </c>
      <c r="S325" s="534">
        <v>0</v>
      </c>
      <c r="T325" s="534">
        <v>0</v>
      </c>
      <c r="U325" s="534">
        <v>1.1108094097899336E-4</v>
      </c>
      <c r="V325" s="535"/>
    </row>
    <row r="326" spans="1:22" s="553" customFormat="1">
      <c r="A326" s="530"/>
      <c r="B326" s="536" t="s">
        <v>778</v>
      </c>
      <c r="C326" s="537">
        <v>0</v>
      </c>
      <c r="D326" s="538">
        <v>0</v>
      </c>
      <c r="E326" s="538">
        <v>0</v>
      </c>
      <c r="F326" s="538">
        <v>-1.275279720183947E-3</v>
      </c>
      <c r="G326" s="538">
        <v>0</v>
      </c>
      <c r="H326" s="538">
        <v>0</v>
      </c>
      <c r="I326" s="538">
        <v>0</v>
      </c>
      <c r="J326" s="540">
        <v>-9.5933871666846861E-4</v>
      </c>
      <c r="K326" s="540">
        <v>0</v>
      </c>
      <c r="L326" s="538">
        <v>0</v>
      </c>
      <c r="M326" s="538">
        <v>0</v>
      </c>
      <c r="N326" s="538">
        <v>0</v>
      </c>
      <c r="O326" s="540">
        <v>0</v>
      </c>
      <c r="P326" s="540">
        <v>0</v>
      </c>
      <c r="Q326" s="538">
        <v>0</v>
      </c>
      <c r="R326" s="540">
        <v>0</v>
      </c>
      <c r="S326" s="540">
        <v>0</v>
      </c>
      <c r="T326" s="540">
        <v>0</v>
      </c>
      <c r="U326" s="540">
        <v>-9.5933871666846861E-4</v>
      </c>
      <c r="V326" s="535"/>
    </row>
    <row r="327" spans="1:22">
      <c r="A327" s="530"/>
      <c r="B327" s="508" t="s">
        <v>779</v>
      </c>
      <c r="C327" s="527">
        <v>6.5764424907410616E-4</v>
      </c>
      <c r="D327" s="528">
        <v>0</v>
      </c>
      <c r="E327" s="528">
        <v>0</v>
      </c>
      <c r="F327" s="528">
        <v>1.3898898383609595E-3</v>
      </c>
      <c r="G327" s="528">
        <v>0</v>
      </c>
      <c r="H327" s="528">
        <v>0</v>
      </c>
      <c r="I327" s="528">
        <v>0</v>
      </c>
      <c r="J327" s="529">
        <v>6.7577623761579705E-4</v>
      </c>
      <c r="K327" s="529">
        <v>0</v>
      </c>
      <c r="L327" s="528">
        <v>0</v>
      </c>
      <c r="M327" s="528">
        <v>0</v>
      </c>
      <c r="N327" s="528">
        <v>0</v>
      </c>
      <c r="O327" s="529">
        <v>0</v>
      </c>
      <c r="P327" s="529">
        <v>0</v>
      </c>
      <c r="Q327" s="528">
        <v>0</v>
      </c>
      <c r="R327" s="529">
        <v>0</v>
      </c>
      <c r="S327" s="529">
        <v>0</v>
      </c>
      <c r="T327" s="529">
        <v>0</v>
      </c>
      <c r="U327" s="529">
        <v>6.7577623761579705E-4</v>
      </c>
      <c r="V327" s="535"/>
    </row>
    <row r="328" spans="1:22">
      <c r="A328" s="530"/>
      <c r="B328" s="531" t="s">
        <v>780</v>
      </c>
      <c r="C328" s="532">
        <v>3.2222983042655174E-4</v>
      </c>
      <c r="D328" s="533">
        <v>0</v>
      </c>
      <c r="E328" s="533">
        <v>0</v>
      </c>
      <c r="F328" s="533">
        <v>2.2782246723294145E-3</v>
      </c>
      <c r="G328" s="533">
        <v>0</v>
      </c>
      <c r="H328" s="533">
        <v>0</v>
      </c>
      <c r="I328" s="533">
        <v>0</v>
      </c>
      <c r="J328" s="534">
        <v>5.6363292274526258E-4</v>
      </c>
      <c r="K328" s="534">
        <v>0</v>
      </c>
      <c r="L328" s="533">
        <v>0</v>
      </c>
      <c r="M328" s="533">
        <v>0</v>
      </c>
      <c r="N328" s="533">
        <v>0</v>
      </c>
      <c r="O328" s="534">
        <v>0</v>
      </c>
      <c r="P328" s="534">
        <v>0</v>
      </c>
      <c r="Q328" s="533">
        <v>0</v>
      </c>
      <c r="R328" s="534">
        <v>0</v>
      </c>
      <c r="S328" s="534">
        <v>0</v>
      </c>
      <c r="T328" s="534">
        <v>0</v>
      </c>
      <c r="U328" s="534">
        <v>5.6363292274526258E-4</v>
      </c>
      <c r="V328" s="535"/>
    </row>
    <row r="329" spans="1:22" s="553" customFormat="1" ht="15.75" thickBot="1">
      <c r="A329" s="546"/>
      <c r="B329" s="547" t="s">
        <v>781</v>
      </c>
      <c r="C329" s="548">
        <v>-3.3541441864755439E-2</v>
      </c>
      <c r="D329" s="549">
        <v>0</v>
      </c>
      <c r="E329" s="549">
        <v>0</v>
      </c>
      <c r="F329" s="549">
        <v>8.8833483396845506E-2</v>
      </c>
      <c r="G329" s="549">
        <v>0</v>
      </c>
      <c r="H329" s="549">
        <v>0</v>
      </c>
      <c r="I329" s="549">
        <v>0</v>
      </c>
      <c r="J329" s="550">
        <v>-1.1214331487053447E-2</v>
      </c>
      <c r="K329" s="550">
        <v>0</v>
      </c>
      <c r="L329" s="549">
        <v>0</v>
      </c>
      <c r="M329" s="549">
        <v>0</v>
      </c>
      <c r="N329" s="549">
        <v>0</v>
      </c>
      <c r="O329" s="550">
        <v>0</v>
      </c>
      <c r="P329" s="550">
        <v>0</v>
      </c>
      <c r="Q329" s="549">
        <v>0</v>
      </c>
      <c r="R329" s="550">
        <v>0</v>
      </c>
      <c r="S329" s="550">
        <v>0</v>
      </c>
      <c r="T329" s="550">
        <v>0</v>
      </c>
      <c r="U329" s="550">
        <v>-1.1214331487053447E-2</v>
      </c>
      <c r="V329" s="535"/>
    </row>
    <row r="330" spans="1:22">
      <c r="A330" s="526" t="s">
        <v>337</v>
      </c>
      <c r="B330" s="508" t="s">
        <v>746</v>
      </c>
      <c r="C330" s="527">
        <v>0.86418762246125302</v>
      </c>
      <c r="D330" s="528">
        <v>0.79574111540269343</v>
      </c>
      <c r="E330" s="528">
        <v>0.84198938658423617</v>
      </c>
      <c r="F330" s="528">
        <v>0.6604331540259667</v>
      </c>
      <c r="G330" s="528">
        <v>0.75837575428260928</v>
      </c>
      <c r="H330" s="528">
        <v>0.92998764823898161</v>
      </c>
      <c r="I330" s="528">
        <v>0</v>
      </c>
      <c r="J330" s="529">
        <v>0.83916356183791441</v>
      </c>
      <c r="K330" s="529">
        <v>0</v>
      </c>
      <c r="L330" s="528">
        <v>0.55873495111789517</v>
      </c>
      <c r="M330" s="528">
        <v>0.47285062747416623</v>
      </c>
      <c r="N330" s="528">
        <v>0.456695873961184</v>
      </c>
      <c r="O330" s="529">
        <v>0.51029406807643685</v>
      </c>
      <c r="P330" s="529">
        <v>0</v>
      </c>
      <c r="Q330" s="528">
        <v>0</v>
      </c>
      <c r="R330" s="529">
        <v>0</v>
      </c>
      <c r="S330" s="529">
        <v>0</v>
      </c>
      <c r="T330" s="529">
        <v>0</v>
      </c>
      <c r="U330" s="529">
        <v>0.68672696007666401</v>
      </c>
      <c r="V330" s="535"/>
    </row>
    <row r="331" spans="1:22">
      <c r="A331" s="530"/>
      <c r="B331" s="531" t="s">
        <v>747</v>
      </c>
      <c r="C331" s="532">
        <v>0.84818947893459806</v>
      </c>
      <c r="D331" s="533">
        <v>0.77829128230191214</v>
      </c>
      <c r="E331" s="533">
        <v>0.82668568110094287</v>
      </c>
      <c r="F331" s="533">
        <v>0.60647028096992361</v>
      </c>
      <c r="G331" s="533">
        <v>0.73727811055496295</v>
      </c>
      <c r="H331" s="533">
        <v>0.92338875670697251</v>
      </c>
      <c r="I331" s="533">
        <v>0</v>
      </c>
      <c r="J331" s="534">
        <v>0.8271547583130664</v>
      </c>
      <c r="K331" s="534">
        <v>0</v>
      </c>
      <c r="L331" s="533">
        <v>0.52910217624155709</v>
      </c>
      <c r="M331" s="533">
        <v>0.45081672575881837</v>
      </c>
      <c r="N331" s="533">
        <v>0.42964421309869721</v>
      </c>
      <c r="O331" s="534">
        <v>0.48379667970456208</v>
      </c>
      <c r="P331" s="534">
        <v>0</v>
      </c>
      <c r="Q331" s="533">
        <v>0</v>
      </c>
      <c r="R331" s="534">
        <v>0</v>
      </c>
      <c r="S331" s="534">
        <v>0</v>
      </c>
      <c r="T331" s="534">
        <v>0</v>
      </c>
      <c r="U331" s="534">
        <v>0.67064768426205601</v>
      </c>
      <c r="V331" s="535"/>
    </row>
    <row r="332" spans="1:22">
      <c r="A332" s="530"/>
      <c r="B332" s="536" t="s">
        <v>748</v>
      </c>
      <c r="C332" s="537">
        <v>-1.5998143526654962</v>
      </c>
      <c r="D332" s="538">
        <v>-1.7449833100781298</v>
      </c>
      <c r="E332" s="538">
        <v>-1.5303705483293295</v>
      </c>
      <c r="F332" s="538">
        <v>-5.3962873056043081</v>
      </c>
      <c r="G332" s="538">
        <v>-2.1097643727646331</v>
      </c>
      <c r="H332" s="538">
        <v>-0.65988915320090991</v>
      </c>
      <c r="I332" s="538">
        <v>0</v>
      </c>
      <c r="J332" s="540">
        <v>-1.2008803524848011</v>
      </c>
      <c r="K332" s="540">
        <v>0</v>
      </c>
      <c r="L332" s="538">
        <v>-2.9632774876338086</v>
      </c>
      <c r="M332" s="538">
        <v>-2.2033901715347861</v>
      </c>
      <c r="N332" s="538">
        <v>-2.7051660862486782</v>
      </c>
      <c r="O332" s="540">
        <v>-2.6497388371874764</v>
      </c>
      <c r="P332" s="540">
        <v>0</v>
      </c>
      <c r="Q332" s="538">
        <v>0</v>
      </c>
      <c r="R332" s="540">
        <v>0</v>
      </c>
      <c r="S332" s="540">
        <v>0</v>
      </c>
      <c r="T332" s="540">
        <v>0</v>
      </c>
      <c r="U332" s="540">
        <v>-1.6079275814607996</v>
      </c>
      <c r="V332" s="535"/>
    </row>
    <row r="333" spans="1:22">
      <c r="A333" s="530"/>
      <c r="B333" s="508" t="s">
        <v>749</v>
      </c>
      <c r="C333" s="527">
        <v>1.2616894343934391E-3</v>
      </c>
      <c r="D333" s="528">
        <v>3.845132040828197E-3</v>
      </c>
      <c r="E333" s="528">
        <v>8.1136515906820601E-3</v>
      </c>
      <c r="F333" s="528">
        <v>6.6465767313487484E-3</v>
      </c>
      <c r="G333" s="528">
        <v>5.6124345811765378E-3</v>
      </c>
      <c r="H333" s="528">
        <v>6.7399204632267373E-3</v>
      </c>
      <c r="I333" s="528">
        <v>0</v>
      </c>
      <c r="J333" s="529">
        <v>4.298414277757478E-3</v>
      </c>
      <c r="K333" s="529">
        <v>0</v>
      </c>
      <c r="L333" s="528">
        <v>2.5733503667983763E-2</v>
      </c>
      <c r="M333" s="528">
        <v>4.0413464119836935E-2</v>
      </c>
      <c r="N333" s="528">
        <v>4.444454284543272E-2</v>
      </c>
      <c r="O333" s="529">
        <v>3.4231301949584417E-2</v>
      </c>
      <c r="P333" s="529">
        <v>0</v>
      </c>
      <c r="Q333" s="528">
        <v>0</v>
      </c>
      <c r="R333" s="529">
        <v>0</v>
      </c>
      <c r="S333" s="529">
        <v>0</v>
      </c>
      <c r="T333" s="529">
        <v>0</v>
      </c>
      <c r="U333" s="529">
        <v>1.8172816629299034E-2</v>
      </c>
      <c r="V333" s="535"/>
    </row>
    <row r="334" spans="1:22">
      <c r="A334" s="530"/>
      <c r="B334" s="531" t="s">
        <v>750</v>
      </c>
      <c r="C334" s="532">
        <v>9.1408105202313104E-3</v>
      </c>
      <c r="D334" s="533">
        <v>7.0743478526482982E-3</v>
      </c>
      <c r="E334" s="533">
        <v>6.550271334556366E-3</v>
      </c>
      <c r="F334" s="533">
        <v>6.1582449002034424E-3</v>
      </c>
      <c r="G334" s="533">
        <v>3.6890402341292635E-3</v>
      </c>
      <c r="H334" s="533">
        <v>3.5026269702276708E-3</v>
      </c>
      <c r="I334" s="533">
        <v>0</v>
      </c>
      <c r="J334" s="534">
        <v>7.5316646647101719E-3</v>
      </c>
      <c r="K334" s="534">
        <v>0</v>
      </c>
      <c r="L334" s="533">
        <v>2.8173763551443562E-2</v>
      </c>
      <c r="M334" s="533">
        <v>4.0327522208446813E-2</v>
      </c>
      <c r="N334" s="533">
        <v>4.5267913007301805E-2</v>
      </c>
      <c r="O334" s="534">
        <v>3.5490408069043917E-2</v>
      </c>
      <c r="P334" s="534">
        <v>0</v>
      </c>
      <c r="Q334" s="533">
        <v>0</v>
      </c>
      <c r="R334" s="534">
        <v>0</v>
      </c>
      <c r="S334" s="534">
        <v>0</v>
      </c>
      <c r="T334" s="534">
        <v>0</v>
      </c>
      <c r="U334" s="534">
        <v>2.0275623222750873E-2</v>
      </c>
      <c r="V334" s="535"/>
    </row>
    <row r="335" spans="1:22">
      <c r="A335" s="530"/>
      <c r="B335" s="536" t="s">
        <v>751</v>
      </c>
      <c r="C335" s="537">
        <v>0.78791210858378713</v>
      </c>
      <c r="D335" s="538">
        <v>0.32292158118201014</v>
      </c>
      <c r="E335" s="538">
        <v>-0.1563380256125694</v>
      </c>
      <c r="F335" s="538">
        <v>-4.8833183114530609E-2</v>
      </c>
      <c r="G335" s="538">
        <v>-0.19233943470472742</v>
      </c>
      <c r="H335" s="538">
        <v>-0.32372934929990665</v>
      </c>
      <c r="I335" s="538">
        <v>0</v>
      </c>
      <c r="J335" s="540">
        <v>0.32332503869526941</v>
      </c>
      <c r="K335" s="540">
        <v>0</v>
      </c>
      <c r="L335" s="538">
        <v>0.24402598834597986</v>
      </c>
      <c r="M335" s="538">
        <v>-8.5941911390122194E-3</v>
      </c>
      <c r="N335" s="538">
        <v>8.2337016186908446E-2</v>
      </c>
      <c r="O335" s="540">
        <v>0.12591061194595007</v>
      </c>
      <c r="P335" s="540">
        <v>0</v>
      </c>
      <c r="Q335" s="538">
        <v>0</v>
      </c>
      <c r="R335" s="540">
        <v>0</v>
      </c>
      <c r="S335" s="540">
        <v>0</v>
      </c>
      <c r="T335" s="540">
        <v>0</v>
      </c>
      <c r="U335" s="540">
        <v>0.21028065934518386</v>
      </c>
      <c r="V335" s="535"/>
    </row>
    <row r="336" spans="1:22">
      <c r="A336" s="530"/>
      <c r="B336" s="508" t="s">
        <v>752</v>
      </c>
      <c r="C336" s="527">
        <v>0.13304869734327324</v>
      </c>
      <c r="D336" s="528">
        <v>0.20024397567160121</v>
      </c>
      <c r="E336" s="528">
        <v>0.14978328120956175</v>
      </c>
      <c r="F336" s="528">
        <v>0.33292026924268453</v>
      </c>
      <c r="G336" s="528">
        <v>0.19398647296021965</v>
      </c>
      <c r="H336" s="528">
        <v>4.4130771592377604E-2</v>
      </c>
      <c r="I336" s="528">
        <v>0</v>
      </c>
      <c r="J336" s="529">
        <v>0.15301790899729545</v>
      </c>
      <c r="K336" s="529">
        <v>0</v>
      </c>
      <c r="L336" s="528">
        <v>0.41449806158569513</v>
      </c>
      <c r="M336" s="528">
        <v>0.48085206755337062</v>
      </c>
      <c r="N336" s="528">
        <v>0.49080965881526623</v>
      </c>
      <c r="O336" s="529">
        <v>0.45149024331559617</v>
      </c>
      <c r="P336" s="529">
        <v>0</v>
      </c>
      <c r="Q336" s="528">
        <v>0</v>
      </c>
      <c r="R336" s="529">
        <v>0</v>
      </c>
      <c r="S336" s="529">
        <v>0</v>
      </c>
      <c r="T336" s="529">
        <v>0</v>
      </c>
      <c r="U336" s="529">
        <v>0.29136491054748626</v>
      </c>
      <c r="V336" s="535"/>
    </row>
    <row r="337" spans="1:22">
      <c r="A337" s="530"/>
      <c r="B337" s="531" t="s">
        <v>753</v>
      </c>
      <c r="C337" s="532">
        <v>0.14259881275392877</v>
      </c>
      <c r="D337" s="533">
        <v>0.21434571446026024</v>
      </c>
      <c r="E337" s="533">
        <v>0.16664150746813811</v>
      </c>
      <c r="F337" s="533">
        <v>0.38737147412987299</v>
      </c>
      <c r="G337" s="533">
        <v>0.2206654631984902</v>
      </c>
      <c r="H337" s="533">
        <v>5.4151171147284766E-2</v>
      </c>
      <c r="I337" s="533">
        <v>0</v>
      </c>
      <c r="J337" s="534">
        <v>0.1678115453213018</v>
      </c>
      <c r="K337" s="534">
        <v>0</v>
      </c>
      <c r="L337" s="533">
        <v>0.44170187087988388</v>
      </c>
      <c r="M337" s="533">
        <v>0.50425916694034678</v>
      </c>
      <c r="N337" s="533">
        <v>0.51828726983263829</v>
      </c>
      <c r="O337" s="534">
        <v>0.4774103575068751</v>
      </c>
      <c r="P337" s="534">
        <v>0</v>
      </c>
      <c r="Q337" s="533">
        <v>0</v>
      </c>
      <c r="R337" s="534">
        <v>0</v>
      </c>
      <c r="S337" s="534">
        <v>0</v>
      </c>
      <c r="T337" s="534">
        <v>0</v>
      </c>
      <c r="U337" s="534">
        <v>0.30893070704657444</v>
      </c>
      <c r="V337" s="535"/>
    </row>
    <row r="338" spans="1:22">
      <c r="A338" s="530"/>
      <c r="B338" s="536" t="s">
        <v>754</v>
      </c>
      <c r="C338" s="537">
        <v>0.95501154106555353</v>
      </c>
      <c r="D338" s="538">
        <v>1.4101738788659031</v>
      </c>
      <c r="E338" s="538">
        <v>1.6858226258576359</v>
      </c>
      <c r="F338" s="538">
        <v>5.445120488718846</v>
      </c>
      <c r="G338" s="538">
        <v>2.6678990238270557</v>
      </c>
      <c r="H338" s="538">
        <v>1.0020399554907162</v>
      </c>
      <c r="I338" s="538">
        <v>0</v>
      </c>
      <c r="J338" s="540">
        <v>1.4793636324006347</v>
      </c>
      <c r="K338" s="540">
        <v>0</v>
      </c>
      <c r="L338" s="538">
        <v>2.7203809294188752</v>
      </c>
      <c r="M338" s="538">
        <v>2.340709938697616</v>
      </c>
      <c r="N338" s="538">
        <v>2.7477611017372059</v>
      </c>
      <c r="O338" s="540">
        <v>2.5920114191278931</v>
      </c>
      <c r="P338" s="540">
        <v>0</v>
      </c>
      <c r="Q338" s="538">
        <v>0</v>
      </c>
      <c r="R338" s="540">
        <v>0</v>
      </c>
      <c r="S338" s="540">
        <v>0</v>
      </c>
      <c r="T338" s="540">
        <v>0</v>
      </c>
      <c r="U338" s="540">
        <v>1.7565796499088182</v>
      </c>
      <c r="V338" s="535"/>
    </row>
    <row r="339" spans="1:22">
      <c r="A339" s="530"/>
      <c r="B339" s="508" t="s">
        <v>755</v>
      </c>
      <c r="C339" s="527">
        <v>1.0489002452879017E-4</v>
      </c>
      <c r="D339" s="528">
        <v>1.6977688487712398E-4</v>
      </c>
      <c r="E339" s="528">
        <v>1.1368061552006463E-4</v>
      </c>
      <c r="F339" s="528">
        <v>0</v>
      </c>
      <c r="G339" s="528">
        <v>1.6086595933308548E-3</v>
      </c>
      <c r="H339" s="528">
        <v>1.9141659705414069E-2</v>
      </c>
      <c r="I339" s="528">
        <v>0</v>
      </c>
      <c r="J339" s="529">
        <v>7.0896701323842849E-4</v>
      </c>
      <c r="K339" s="529">
        <v>0</v>
      </c>
      <c r="L339" s="528">
        <v>1.0268005934153202E-3</v>
      </c>
      <c r="M339" s="528">
        <v>5.8838408526262044E-3</v>
      </c>
      <c r="N339" s="528">
        <v>4.5921425913671623E-3</v>
      </c>
      <c r="O339" s="529">
        <v>3.3877904176406151E-3</v>
      </c>
      <c r="P339" s="529">
        <v>0</v>
      </c>
      <c r="Q339" s="528">
        <v>0</v>
      </c>
      <c r="R339" s="529">
        <v>0</v>
      </c>
      <c r="S339" s="529">
        <v>0</v>
      </c>
      <c r="T339" s="529">
        <v>0</v>
      </c>
      <c r="U339" s="529">
        <v>1.9506472062384571E-3</v>
      </c>
      <c r="V339" s="535"/>
    </row>
    <row r="340" spans="1:22">
      <c r="A340" s="530"/>
      <c r="B340" s="531" t="s">
        <v>756</v>
      </c>
      <c r="C340" s="532">
        <v>4.0870491421784308E-5</v>
      </c>
      <c r="D340" s="533">
        <v>2.8865538517930232E-4</v>
      </c>
      <c r="E340" s="533">
        <v>1.2254009636269026E-4</v>
      </c>
      <c r="F340" s="533">
        <v>0</v>
      </c>
      <c r="G340" s="533">
        <v>1.0906430349279287E-3</v>
      </c>
      <c r="H340" s="533">
        <v>1.8957445175515102E-2</v>
      </c>
      <c r="I340" s="533">
        <v>0</v>
      </c>
      <c r="J340" s="534">
        <v>6.631441750580392E-4</v>
      </c>
      <c r="K340" s="534">
        <v>0</v>
      </c>
      <c r="L340" s="533">
        <v>1.0221893271154547E-3</v>
      </c>
      <c r="M340" s="533">
        <v>4.5965850923880081E-3</v>
      </c>
      <c r="N340" s="533">
        <v>6.0144070600490719E-3</v>
      </c>
      <c r="O340" s="534">
        <v>3.1679854270427535E-3</v>
      </c>
      <c r="P340" s="534">
        <v>0</v>
      </c>
      <c r="Q340" s="533">
        <v>0</v>
      </c>
      <c r="R340" s="534">
        <v>0</v>
      </c>
      <c r="S340" s="534">
        <v>0</v>
      </c>
      <c r="T340" s="534">
        <v>0</v>
      </c>
      <c r="U340" s="534">
        <v>1.8048833672713767E-3</v>
      </c>
      <c r="V340" s="535"/>
    </row>
    <row r="341" spans="1:22">
      <c r="A341" s="530"/>
      <c r="B341" s="536" t="s">
        <v>757</v>
      </c>
      <c r="C341" s="537">
        <v>-6.4019533107005861E-3</v>
      </c>
      <c r="D341" s="538">
        <v>1.1887850030217834E-2</v>
      </c>
      <c r="E341" s="538">
        <v>8.8594808426256362E-4</v>
      </c>
      <c r="F341" s="538">
        <v>0</v>
      </c>
      <c r="G341" s="538">
        <v>-5.1801655840292615E-2</v>
      </c>
      <c r="H341" s="538">
        <v>-1.8421452989896697E-2</v>
      </c>
      <c r="I341" s="538">
        <v>0</v>
      </c>
      <c r="J341" s="540">
        <v>-4.5822838180389295E-3</v>
      </c>
      <c r="K341" s="540">
        <v>0</v>
      </c>
      <c r="L341" s="538">
        <v>-4.6112662998654737E-4</v>
      </c>
      <c r="M341" s="538">
        <v>-0.12872557602381962</v>
      </c>
      <c r="N341" s="538">
        <v>0.14222644686819097</v>
      </c>
      <c r="O341" s="540">
        <v>-2.1980499059786163E-2</v>
      </c>
      <c r="P341" s="540">
        <v>0</v>
      </c>
      <c r="Q341" s="538">
        <v>0</v>
      </c>
      <c r="R341" s="540">
        <v>0</v>
      </c>
      <c r="S341" s="540">
        <v>0</v>
      </c>
      <c r="T341" s="540">
        <v>0</v>
      </c>
      <c r="U341" s="540">
        <v>-1.4576383896708041E-2</v>
      </c>
      <c r="V341" s="535"/>
    </row>
    <row r="342" spans="1:22">
      <c r="A342" s="530"/>
      <c r="B342" s="508" t="s">
        <v>758</v>
      </c>
      <c r="C342" s="527">
        <v>1.3971007365515082E-3</v>
      </c>
      <c r="D342" s="528">
        <v>0</v>
      </c>
      <c r="E342" s="528">
        <v>0</v>
      </c>
      <c r="F342" s="528">
        <v>0</v>
      </c>
      <c r="G342" s="528">
        <v>4.0416678582663651E-2</v>
      </c>
      <c r="H342" s="528">
        <v>0</v>
      </c>
      <c r="I342" s="528">
        <v>0</v>
      </c>
      <c r="J342" s="529">
        <v>2.8111478737942153E-3</v>
      </c>
      <c r="K342" s="529">
        <v>0</v>
      </c>
      <c r="L342" s="528">
        <v>6.6830350106064535E-6</v>
      </c>
      <c r="M342" s="528">
        <v>0</v>
      </c>
      <c r="N342" s="528">
        <v>3.457781786749806E-3</v>
      </c>
      <c r="O342" s="529">
        <v>5.9659624074180531E-4</v>
      </c>
      <c r="P342" s="529">
        <v>0</v>
      </c>
      <c r="Q342" s="528">
        <v>0</v>
      </c>
      <c r="R342" s="529">
        <v>0</v>
      </c>
      <c r="S342" s="529">
        <v>0</v>
      </c>
      <c r="T342" s="529">
        <v>0</v>
      </c>
      <c r="U342" s="529">
        <v>1.7846655403121806E-3</v>
      </c>
      <c r="V342" s="535"/>
    </row>
    <row r="343" spans="1:22">
      <c r="A343" s="530"/>
      <c r="B343" s="531" t="s">
        <v>759</v>
      </c>
      <c r="C343" s="532">
        <v>3.0027299820086427E-5</v>
      </c>
      <c r="D343" s="533">
        <v>0</v>
      </c>
      <c r="E343" s="533">
        <v>0</v>
      </c>
      <c r="F343" s="533">
        <v>0</v>
      </c>
      <c r="G343" s="533">
        <v>3.7276742977489674E-2</v>
      </c>
      <c r="H343" s="533">
        <v>0</v>
      </c>
      <c r="I343" s="533">
        <v>0</v>
      </c>
      <c r="J343" s="534">
        <v>2.0617584479495693E-3</v>
      </c>
      <c r="K343" s="534">
        <v>0</v>
      </c>
      <c r="L343" s="533">
        <v>0</v>
      </c>
      <c r="M343" s="533">
        <v>0</v>
      </c>
      <c r="N343" s="533">
        <v>7.8619700131360415E-4</v>
      </c>
      <c r="O343" s="534">
        <v>1.3456929247615237E-4</v>
      </c>
      <c r="P343" s="534">
        <v>0</v>
      </c>
      <c r="Q343" s="533">
        <v>0</v>
      </c>
      <c r="R343" s="534">
        <v>0</v>
      </c>
      <c r="S343" s="534">
        <v>0</v>
      </c>
      <c r="T343" s="534">
        <v>0</v>
      </c>
      <c r="U343" s="534">
        <v>1.1833205877182773E-3</v>
      </c>
      <c r="V343" s="535"/>
    </row>
    <row r="344" spans="1:22">
      <c r="A344" s="530"/>
      <c r="B344" s="536" t="s">
        <v>760</v>
      </c>
      <c r="C344" s="537">
        <v>-0.13670734367314219</v>
      </c>
      <c r="D344" s="538">
        <v>0</v>
      </c>
      <c r="E344" s="538">
        <v>0</v>
      </c>
      <c r="F344" s="538">
        <v>0</v>
      </c>
      <c r="G344" s="538">
        <v>-0.31399356051739769</v>
      </c>
      <c r="H344" s="538">
        <v>0</v>
      </c>
      <c r="I344" s="538">
        <v>0</v>
      </c>
      <c r="J344" s="540">
        <v>-7.493894258446461E-2</v>
      </c>
      <c r="K344" s="540">
        <v>0</v>
      </c>
      <c r="L344" s="538">
        <v>-6.6830350106064531E-4</v>
      </c>
      <c r="M344" s="538">
        <v>0</v>
      </c>
      <c r="N344" s="538">
        <v>-0.26715847854362018</v>
      </c>
      <c r="O344" s="540">
        <v>-4.6202694826565291E-2</v>
      </c>
      <c r="P344" s="540">
        <v>0</v>
      </c>
      <c r="Q344" s="538">
        <v>0</v>
      </c>
      <c r="R344" s="540">
        <v>0</v>
      </c>
      <c r="S344" s="540">
        <v>0</v>
      </c>
      <c r="T344" s="540">
        <v>0</v>
      </c>
      <c r="U344" s="540">
        <v>-6.0134495259390325E-2</v>
      </c>
      <c r="V344" s="535"/>
    </row>
    <row r="345" spans="1:22">
      <c r="A345" s="530"/>
      <c r="B345" s="508" t="s">
        <v>761</v>
      </c>
      <c r="C345" s="527">
        <v>0</v>
      </c>
      <c r="D345" s="528">
        <v>0</v>
      </c>
      <c r="E345" s="528">
        <v>0</v>
      </c>
      <c r="F345" s="528">
        <v>0</v>
      </c>
      <c r="G345" s="528">
        <v>0</v>
      </c>
      <c r="H345" s="528">
        <v>0</v>
      </c>
      <c r="I345" s="528">
        <v>0</v>
      </c>
      <c r="J345" s="529">
        <v>0</v>
      </c>
      <c r="K345" s="529">
        <v>0</v>
      </c>
      <c r="L345" s="528">
        <v>0</v>
      </c>
      <c r="M345" s="528">
        <v>0</v>
      </c>
      <c r="N345" s="528">
        <v>0</v>
      </c>
      <c r="O345" s="529">
        <v>0</v>
      </c>
      <c r="P345" s="529">
        <v>0</v>
      </c>
      <c r="Q345" s="528">
        <v>0</v>
      </c>
      <c r="R345" s="529">
        <v>0</v>
      </c>
      <c r="S345" s="529">
        <v>0</v>
      </c>
      <c r="T345" s="529">
        <v>0</v>
      </c>
      <c r="U345" s="529">
        <v>0</v>
      </c>
      <c r="V345" s="535"/>
    </row>
    <row r="346" spans="1:22">
      <c r="A346" s="530"/>
      <c r="B346" s="531" t="s">
        <v>762</v>
      </c>
      <c r="C346" s="532">
        <v>0</v>
      </c>
      <c r="D346" s="533">
        <v>0</v>
      </c>
      <c r="E346" s="533">
        <v>0</v>
      </c>
      <c r="F346" s="533">
        <v>0</v>
      </c>
      <c r="G346" s="533">
        <v>0</v>
      </c>
      <c r="H346" s="533">
        <v>0</v>
      </c>
      <c r="I346" s="533">
        <v>0</v>
      </c>
      <c r="J346" s="534">
        <v>0</v>
      </c>
      <c r="K346" s="534">
        <v>0</v>
      </c>
      <c r="L346" s="533">
        <v>0</v>
      </c>
      <c r="M346" s="533">
        <v>0</v>
      </c>
      <c r="N346" s="533">
        <v>0</v>
      </c>
      <c r="O346" s="534">
        <v>0</v>
      </c>
      <c r="P346" s="534">
        <v>0</v>
      </c>
      <c r="Q346" s="533">
        <v>0</v>
      </c>
      <c r="R346" s="534">
        <v>0</v>
      </c>
      <c r="S346" s="534">
        <v>0</v>
      </c>
      <c r="T346" s="534">
        <v>0</v>
      </c>
      <c r="U346" s="534">
        <v>0</v>
      </c>
      <c r="V346" s="535"/>
    </row>
    <row r="347" spans="1:22" ht="15.75" thickBot="1">
      <c r="A347" s="530"/>
      <c r="B347" s="542" t="s">
        <v>763</v>
      </c>
      <c r="C347" s="543">
        <v>0</v>
      </c>
      <c r="D347" s="544">
        <v>0</v>
      </c>
      <c r="E347" s="544">
        <v>0</v>
      </c>
      <c r="F347" s="544">
        <v>0</v>
      </c>
      <c r="G347" s="544">
        <v>0</v>
      </c>
      <c r="H347" s="544">
        <v>0</v>
      </c>
      <c r="I347" s="544">
        <v>0</v>
      </c>
      <c r="J347" s="545">
        <v>0</v>
      </c>
      <c r="K347" s="545">
        <v>0</v>
      </c>
      <c r="L347" s="544">
        <v>0</v>
      </c>
      <c r="M347" s="544">
        <v>0</v>
      </c>
      <c r="N347" s="544">
        <v>0</v>
      </c>
      <c r="O347" s="545">
        <v>0</v>
      </c>
      <c r="P347" s="545">
        <v>0</v>
      </c>
      <c r="Q347" s="544">
        <v>0</v>
      </c>
      <c r="R347" s="545">
        <v>0</v>
      </c>
      <c r="S347" s="545">
        <v>0</v>
      </c>
      <c r="T347" s="545">
        <v>0</v>
      </c>
      <c r="U347" s="545">
        <v>0</v>
      </c>
      <c r="V347" s="535"/>
    </row>
    <row r="348" spans="1:22" ht="15.75" thickTop="1">
      <c r="A348" s="530"/>
      <c r="B348" s="531" t="s">
        <v>764</v>
      </c>
      <c r="C348" s="532">
        <v>0.79251229486980379</v>
      </c>
      <c r="D348" s="533">
        <v>0.41334710396426039</v>
      </c>
      <c r="E348" s="533">
        <v>0.59443927945241382</v>
      </c>
      <c r="F348" s="533">
        <v>0.39608801955990219</v>
      </c>
      <c r="G348" s="533">
        <v>0.51090674841174644</v>
      </c>
      <c r="H348" s="533">
        <v>0.88246816846229192</v>
      </c>
      <c r="I348" s="533">
        <v>0</v>
      </c>
      <c r="J348" s="534">
        <v>0.69375290802536582</v>
      </c>
      <c r="K348" s="534">
        <v>0</v>
      </c>
      <c r="L348" s="533">
        <v>0</v>
      </c>
      <c r="M348" s="533">
        <v>0</v>
      </c>
      <c r="N348" s="533">
        <v>0</v>
      </c>
      <c r="O348" s="534">
        <v>0</v>
      </c>
      <c r="P348" s="534">
        <v>0</v>
      </c>
      <c r="Q348" s="533">
        <v>0</v>
      </c>
      <c r="R348" s="534">
        <v>0</v>
      </c>
      <c r="S348" s="534">
        <v>0</v>
      </c>
      <c r="T348" s="534">
        <v>0</v>
      </c>
      <c r="U348" s="534">
        <v>0.69375290802536582</v>
      </c>
      <c r="V348" s="535"/>
    </row>
    <row r="349" spans="1:22">
      <c r="A349" s="530"/>
      <c r="B349" s="531" t="s">
        <v>765</v>
      </c>
      <c r="C349" s="532">
        <v>0.79535094063118361</v>
      </c>
      <c r="D349" s="533">
        <v>0.37340528296858866</v>
      </c>
      <c r="E349" s="533">
        <v>0.56513552835886594</v>
      </c>
      <c r="F349" s="533">
        <v>0.34397847979031593</v>
      </c>
      <c r="G349" s="533">
        <v>0.44422868665745546</v>
      </c>
      <c r="H349" s="533">
        <v>0.83673469387755106</v>
      </c>
      <c r="I349" s="533">
        <v>0</v>
      </c>
      <c r="J349" s="534">
        <v>0.68820552601824447</v>
      </c>
      <c r="K349" s="534">
        <v>0</v>
      </c>
      <c r="L349" s="533">
        <v>0</v>
      </c>
      <c r="M349" s="533">
        <v>0</v>
      </c>
      <c r="N349" s="533">
        <v>0</v>
      </c>
      <c r="O349" s="534">
        <v>0</v>
      </c>
      <c r="P349" s="534">
        <v>0</v>
      </c>
      <c r="Q349" s="533">
        <v>0</v>
      </c>
      <c r="R349" s="534">
        <v>0</v>
      </c>
      <c r="S349" s="534">
        <v>0</v>
      </c>
      <c r="T349" s="534">
        <v>0</v>
      </c>
      <c r="U349" s="534">
        <v>0.68820552601824447</v>
      </c>
      <c r="V349" s="535"/>
    </row>
    <row r="350" spans="1:22">
      <c r="A350" s="530"/>
      <c r="B350" s="536" t="s">
        <v>766</v>
      </c>
      <c r="C350" s="537">
        <v>0.28386457613798211</v>
      </c>
      <c r="D350" s="538">
        <v>-3.9941820995671726</v>
      </c>
      <c r="E350" s="538">
        <v>-2.9303751093547881</v>
      </c>
      <c r="F350" s="538">
        <v>-5.2109539769586268</v>
      </c>
      <c r="G350" s="538">
        <v>-6.6678061754290976</v>
      </c>
      <c r="H350" s="538">
        <v>-4.5733474584740863</v>
      </c>
      <c r="I350" s="538">
        <v>0</v>
      </c>
      <c r="J350" s="540">
        <v>-0.55473820071213487</v>
      </c>
      <c r="K350" s="540">
        <v>0</v>
      </c>
      <c r="L350" s="538">
        <v>0</v>
      </c>
      <c r="M350" s="538">
        <v>0</v>
      </c>
      <c r="N350" s="538">
        <v>0</v>
      </c>
      <c r="O350" s="540">
        <v>0</v>
      </c>
      <c r="P350" s="540">
        <v>0</v>
      </c>
      <c r="Q350" s="538">
        <v>0</v>
      </c>
      <c r="R350" s="540">
        <v>0</v>
      </c>
      <c r="S350" s="540">
        <v>0</v>
      </c>
      <c r="T350" s="540">
        <v>0</v>
      </c>
      <c r="U350" s="540">
        <v>-0.55473820071213487</v>
      </c>
      <c r="V350" s="535"/>
    </row>
    <row r="351" spans="1:22">
      <c r="A351" s="530"/>
      <c r="B351" s="508" t="s">
        <v>767</v>
      </c>
      <c r="C351" s="527">
        <v>1.7572086762954912E-2</v>
      </c>
      <c r="D351" s="528">
        <v>4.6307749582677825E-2</v>
      </c>
      <c r="E351" s="528">
        <v>5.9095134993479632E-2</v>
      </c>
      <c r="F351" s="528">
        <v>8.5045926121720739E-2</v>
      </c>
      <c r="G351" s="528">
        <v>5.3622995246345909E-2</v>
      </c>
      <c r="H351" s="528">
        <v>0</v>
      </c>
      <c r="I351" s="528">
        <v>0</v>
      </c>
      <c r="J351" s="529">
        <v>3.1768706771712819E-2</v>
      </c>
      <c r="K351" s="529">
        <v>0</v>
      </c>
      <c r="L351" s="528">
        <v>0</v>
      </c>
      <c r="M351" s="528">
        <v>0</v>
      </c>
      <c r="N351" s="528">
        <v>0</v>
      </c>
      <c r="O351" s="529">
        <v>0</v>
      </c>
      <c r="P351" s="529">
        <v>0</v>
      </c>
      <c r="Q351" s="528">
        <v>0</v>
      </c>
      <c r="R351" s="529">
        <v>0</v>
      </c>
      <c r="S351" s="529">
        <v>0</v>
      </c>
      <c r="T351" s="529">
        <v>0</v>
      </c>
      <c r="U351" s="529">
        <v>3.1768706771712819E-2</v>
      </c>
      <c r="V351" s="535"/>
    </row>
    <row r="352" spans="1:22">
      <c r="A352" s="530"/>
      <c r="B352" s="531" t="s">
        <v>768</v>
      </c>
      <c r="C352" s="532">
        <v>1.8835521683461722E-2</v>
      </c>
      <c r="D352" s="533">
        <v>1.581115441413233E-2</v>
      </c>
      <c r="E352" s="533">
        <v>5.7439082539643728E-2</v>
      </c>
      <c r="F352" s="533">
        <v>1.2277555524899985E-2</v>
      </c>
      <c r="G352" s="533">
        <v>3.1703947122745435E-2</v>
      </c>
      <c r="H352" s="533">
        <v>0</v>
      </c>
      <c r="I352" s="533">
        <v>0</v>
      </c>
      <c r="J352" s="534">
        <v>2.6489662347673464E-2</v>
      </c>
      <c r="K352" s="534">
        <v>0</v>
      </c>
      <c r="L352" s="533">
        <v>0</v>
      </c>
      <c r="M352" s="533">
        <v>0</v>
      </c>
      <c r="N352" s="533">
        <v>0</v>
      </c>
      <c r="O352" s="534">
        <v>0</v>
      </c>
      <c r="P352" s="534">
        <v>0</v>
      </c>
      <c r="Q352" s="533">
        <v>0</v>
      </c>
      <c r="R352" s="534">
        <v>0</v>
      </c>
      <c r="S352" s="534">
        <v>0</v>
      </c>
      <c r="T352" s="534">
        <v>0</v>
      </c>
      <c r="U352" s="534">
        <v>2.6489662347673464E-2</v>
      </c>
      <c r="V352" s="535"/>
    </row>
    <row r="353" spans="1:22">
      <c r="A353" s="530"/>
      <c r="B353" s="536" t="s">
        <v>769</v>
      </c>
      <c r="C353" s="537">
        <v>0.12634349205068104</v>
      </c>
      <c r="D353" s="538">
        <v>-3.0496595168545495</v>
      </c>
      <c r="E353" s="538">
        <v>-0.16560524538359045</v>
      </c>
      <c r="F353" s="538">
        <v>-7.2768370596820757</v>
      </c>
      <c r="G353" s="538">
        <v>-2.1919048123600473</v>
      </c>
      <c r="H353" s="538">
        <v>0</v>
      </c>
      <c r="I353" s="538">
        <v>0</v>
      </c>
      <c r="J353" s="540">
        <v>-0.52790444240393564</v>
      </c>
      <c r="K353" s="540">
        <v>0</v>
      </c>
      <c r="L353" s="538">
        <v>0</v>
      </c>
      <c r="M353" s="538">
        <v>0</v>
      </c>
      <c r="N353" s="538">
        <v>0</v>
      </c>
      <c r="O353" s="540">
        <v>0</v>
      </c>
      <c r="P353" s="540">
        <v>0</v>
      </c>
      <c r="Q353" s="538">
        <v>0</v>
      </c>
      <c r="R353" s="540">
        <v>0</v>
      </c>
      <c r="S353" s="540">
        <v>0</v>
      </c>
      <c r="T353" s="540">
        <v>0</v>
      </c>
      <c r="U353" s="540">
        <v>-0.52790444240393564</v>
      </c>
      <c r="V353" s="535"/>
    </row>
    <row r="354" spans="1:22">
      <c r="A354" s="530"/>
      <c r="B354" s="508" t="s">
        <v>770</v>
      </c>
      <c r="C354" s="527">
        <v>0.1837904436506704</v>
      </c>
      <c r="D354" s="528">
        <v>0.53881996901608042</v>
      </c>
      <c r="E354" s="528">
        <v>0.34549220987477147</v>
      </c>
      <c r="F354" s="528">
        <v>0.51886605431837707</v>
      </c>
      <c r="G354" s="528">
        <v>0.35914523079657024</v>
      </c>
      <c r="H354" s="528">
        <v>0.11753183153770813</v>
      </c>
      <c r="I354" s="528">
        <v>0</v>
      </c>
      <c r="J354" s="529">
        <v>0.26799708282579032</v>
      </c>
      <c r="K354" s="529">
        <v>0</v>
      </c>
      <c r="L354" s="528">
        <v>0</v>
      </c>
      <c r="M354" s="528">
        <v>0</v>
      </c>
      <c r="N354" s="528">
        <v>0</v>
      </c>
      <c r="O354" s="529">
        <v>0</v>
      </c>
      <c r="P354" s="529">
        <v>0</v>
      </c>
      <c r="Q354" s="528">
        <v>0</v>
      </c>
      <c r="R354" s="529">
        <v>0</v>
      </c>
      <c r="S354" s="529">
        <v>0</v>
      </c>
      <c r="T354" s="529">
        <v>0</v>
      </c>
      <c r="U354" s="529">
        <v>0.26799708282579032</v>
      </c>
      <c r="V354" s="535"/>
    </row>
    <row r="355" spans="1:22">
      <c r="A355" s="530"/>
      <c r="B355" s="531" t="s">
        <v>771</v>
      </c>
      <c r="C355" s="532">
        <v>0.18557310857664058</v>
      </c>
      <c r="D355" s="533">
        <v>0.61071694258463516</v>
      </c>
      <c r="E355" s="533">
        <v>0.3772053159883117</v>
      </c>
      <c r="F355" s="533">
        <v>0.64374396468478412</v>
      </c>
      <c r="G355" s="533">
        <v>0.46192912356697413</v>
      </c>
      <c r="H355" s="533">
        <v>0.16326530612244897</v>
      </c>
      <c r="I355" s="533">
        <v>0</v>
      </c>
      <c r="J355" s="534">
        <v>0.2876149424235882</v>
      </c>
      <c r="K355" s="534">
        <v>0</v>
      </c>
      <c r="L355" s="533">
        <v>0</v>
      </c>
      <c r="M355" s="533">
        <v>0</v>
      </c>
      <c r="N355" s="533">
        <v>0</v>
      </c>
      <c r="O355" s="534">
        <v>0</v>
      </c>
      <c r="P355" s="534">
        <v>0</v>
      </c>
      <c r="Q355" s="533">
        <v>0</v>
      </c>
      <c r="R355" s="534">
        <v>0</v>
      </c>
      <c r="S355" s="534">
        <v>0</v>
      </c>
      <c r="T355" s="534">
        <v>0</v>
      </c>
      <c r="U355" s="534">
        <v>0.2876149424235882</v>
      </c>
      <c r="V355" s="535"/>
    </row>
    <row r="356" spans="1:22">
      <c r="A356" s="530"/>
      <c r="B356" s="536" t="s">
        <v>772</v>
      </c>
      <c r="C356" s="537">
        <v>0.17826649259701788</v>
      </c>
      <c r="D356" s="538">
        <v>7.1896973568554738</v>
      </c>
      <c r="E356" s="538">
        <v>3.1713106113540226</v>
      </c>
      <c r="F356" s="538">
        <v>12.487791036640704</v>
      </c>
      <c r="G356" s="538">
        <v>10.27838927704039</v>
      </c>
      <c r="H356" s="538">
        <v>4.5733474584740836</v>
      </c>
      <c r="I356" s="538">
        <v>0</v>
      </c>
      <c r="J356" s="540">
        <v>1.9617859597797882</v>
      </c>
      <c r="K356" s="540">
        <v>0</v>
      </c>
      <c r="L356" s="538">
        <v>0</v>
      </c>
      <c r="M356" s="538">
        <v>0</v>
      </c>
      <c r="N356" s="538">
        <v>0</v>
      </c>
      <c r="O356" s="540">
        <v>0</v>
      </c>
      <c r="P356" s="540">
        <v>0</v>
      </c>
      <c r="Q356" s="538">
        <v>0</v>
      </c>
      <c r="R356" s="540">
        <v>0</v>
      </c>
      <c r="S356" s="540">
        <v>0</v>
      </c>
      <c r="T356" s="540">
        <v>0</v>
      </c>
      <c r="U356" s="540">
        <v>1.9617859597797882</v>
      </c>
      <c r="V356" s="535"/>
    </row>
    <row r="357" spans="1:22">
      <c r="A357" s="530"/>
      <c r="B357" s="508" t="s">
        <v>773</v>
      </c>
      <c r="C357" s="527">
        <v>2.4434435989025211E-4</v>
      </c>
      <c r="D357" s="528">
        <v>1.5251774369813495E-3</v>
      </c>
      <c r="E357" s="528">
        <v>9.733756793351095E-4</v>
      </c>
      <c r="F357" s="528">
        <v>0</v>
      </c>
      <c r="G357" s="528">
        <v>4.1316806610689058E-3</v>
      </c>
      <c r="H357" s="528">
        <v>0</v>
      </c>
      <c r="I357" s="528">
        <v>0</v>
      </c>
      <c r="J357" s="529">
        <v>6.4564698009734372E-4</v>
      </c>
      <c r="K357" s="529">
        <v>0</v>
      </c>
      <c r="L357" s="528">
        <v>0</v>
      </c>
      <c r="M357" s="528">
        <v>0</v>
      </c>
      <c r="N357" s="528">
        <v>0</v>
      </c>
      <c r="O357" s="529">
        <v>0</v>
      </c>
      <c r="P357" s="529">
        <v>0</v>
      </c>
      <c r="Q357" s="528">
        <v>0</v>
      </c>
      <c r="R357" s="529">
        <v>0</v>
      </c>
      <c r="S357" s="529">
        <v>0</v>
      </c>
      <c r="T357" s="529">
        <v>0</v>
      </c>
      <c r="U357" s="529">
        <v>6.4564698009734372E-4</v>
      </c>
      <c r="V357" s="535"/>
    </row>
    <row r="358" spans="1:22">
      <c r="A358" s="530"/>
      <c r="B358" s="531" t="s">
        <v>774</v>
      </c>
      <c r="C358" s="532">
        <v>2.4042910871402865E-4</v>
      </c>
      <c r="D358" s="533">
        <v>6.6620032643815991E-5</v>
      </c>
      <c r="E358" s="533">
        <v>2.2007311317871159E-4</v>
      </c>
      <c r="F358" s="533">
        <v>0</v>
      </c>
      <c r="G358" s="533">
        <v>0</v>
      </c>
      <c r="H358" s="533">
        <v>0</v>
      </c>
      <c r="I358" s="533">
        <v>0</v>
      </c>
      <c r="J358" s="534">
        <v>2.0491128439124884E-4</v>
      </c>
      <c r="K358" s="534">
        <v>0</v>
      </c>
      <c r="L358" s="533">
        <v>0</v>
      </c>
      <c r="M358" s="533">
        <v>0</v>
      </c>
      <c r="N358" s="533">
        <v>0</v>
      </c>
      <c r="O358" s="534">
        <v>0</v>
      </c>
      <c r="P358" s="534">
        <v>0</v>
      </c>
      <c r="Q358" s="533">
        <v>0</v>
      </c>
      <c r="R358" s="534">
        <v>0</v>
      </c>
      <c r="S358" s="534">
        <v>0</v>
      </c>
      <c r="T358" s="534">
        <v>0</v>
      </c>
      <c r="U358" s="534">
        <v>2.0491128439124884E-4</v>
      </c>
      <c r="V358" s="535"/>
    </row>
    <row r="359" spans="1:22">
      <c r="A359" s="530"/>
      <c r="B359" s="536" t="s">
        <v>775</v>
      </c>
      <c r="C359" s="537">
        <v>-3.9152511762234621E-4</v>
      </c>
      <c r="D359" s="538">
        <v>-0.14585574043375335</v>
      </c>
      <c r="E359" s="538">
        <v>-7.5330256615639787E-2</v>
      </c>
      <c r="F359" s="538">
        <v>0</v>
      </c>
      <c r="G359" s="538">
        <v>-0.41316806610689055</v>
      </c>
      <c r="H359" s="538">
        <v>0</v>
      </c>
      <c r="I359" s="538">
        <v>0</v>
      </c>
      <c r="J359" s="540">
        <v>-4.407356957060949E-2</v>
      </c>
      <c r="K359" s="540">
        <v>0</v>
      </c>
      <c r="L359" s="538">
        <v>0</v>
      </c>
      <c r="M359" s="538">
        <v>0</v>
      </c>
      <c r="N359" s="538">
        <v>0</v>
      </c>
      <c r="O359" s="540">
        <v>0</v>
      </c>
      <c r="P359" s="540">
        <v>0</v>
      </c>
      <c r="Q359" s="538">
        <v>0</v>
      </c>
      <c r="R359" s="540">
        <v>0</v>
      </c>
      <c r="S359" s="540">
        <v>0</v>
      </c>
      <c r="T359" s="540">
        <v>0</v>
      </c>
      <c r="U359" s="540">
        <v>-4.407356957060949E-2</v>
      </c>
      <c r="V359" s="535"/>
    </row>
    <row r="360" spans="1:22">
      <c r="A360" s="530"/>
      <c r="B360" s="508" t="s">
        <v>776</v>
      </c>
      <c r="C360" s="527">
        <v>5.8808303566806443E-3</v>
      </c>
      <c r="D360" s="528">
        <v>0</v>
      </c>
      <c r="E360" s="528">
        <v>0</v>
      </c>
      <c r="F360" s="528">
        <v>0</v>
      </c>
      <c r="G360" s="528">
        <v>7.2193344884268512E-2</v>
      </c>
      <c r="H360" s="528">
        <v>0</v>
      </c>
      <c r="I360" s="528">
        <v>0</v>
      </c>
      <c r="J360" s="529">
        <v>5.8356553970336832E-3</v>
      </c>
      <c r="K360" s="529">
        <v>0</v>
      </c>
      <c r="L360" s="528">
        <v>0</v>
      </c>
      <c r="M360" s="528">
        <v>0</v>
      </c>
      <c r="N360" s="528">
        <v>0</v>
      </c>
      <c r="O360" s="529">
        <v>0</v>
      </c>
      <c r="P360" s="529">
        <v>0</v>
      </c>
      <c r="Q360" s="528">
        <v>0</v>
      </c>
      <c r="R360" s="529">
        <v>0</v>
      </c>
      <c r="S360" s="529">
        <v>0</v>
      </c>
      <c r="T360" s="529">
        <v>0</v>
      </c>
      <c r="U360" s="529">
        <v>5.8356553970336832E-3</v>
      </c>
      <c r="V360" s="535"/>
    </row>
    <row r="361" spans="1:22">
      <c r="A361" s="530"/>
      <c r="B361" s="531" t="s">
        <v>777</v>
      </c>
      <c r="C361" s="532">
        <v>0</v>
      </c>
      <c r="D361" s="533">
        <v>0</v>
      </c>
      <c r="E361" s="533">
        <v>0</v>
      </c>
      <c r="F361" s="533">
        <v>0</v>
      </c>
      <c r="G361" s="533">
        <v>6.2138242652824978E-2</v>
      </c>
      <c r="H361" s="533">
        <v>0</v>
      </c>
      <c r="I361" s="533">
        <v>0</v>
      </c>
      <c r="J361" s="534">
        <v>2.0295974834942739E-3</v>
      </c>
      <c r="K361" s="534">
        <v>0</v>
      </c>
      <c r="L361" s="533">
        <v>0</v>
      </c>
      <c r="M361" s="533">
        <v>0</v>
      </c>
      <c r="N361" s="533">
        <v>0</v>
      </c>
      <c r="O361" s="534">
        <v>0</v>
      </c>
      <c r="P361" s="534">
        <v>0</v>
      </c>
      <c r="Q361" s="533">
        <v>0</v>
      </c>
      <c r="R361" s="534">
        <v>0</v>
      </c>
      <c r="S361" s="534">
        <v>0</v>
      </c>
      <c r="T361" s="534">
        <v>0</v>
      </c>
      <c r="U361" s="534">
        <v>2.0295974834942739E-3</v>
      </c>
      <c r="V361" s="535"/>
    </row>
    <row r="362" spans="1:22">
      <c r="A362" s="530"/>
      <c r="B362" s="536" t="s">
        <v>778</v>
      </c>
      <c r="C362" s="537">
        <v>-0.58808303566806441</v>
      </c>
      <c r="D362" s="538">
        <v>0</v>
      </c>
      <c r="E362" s="538">
        <v>0</v>
      </c>
      <c r="F362" s="538">
        <v>0</v>
      </c>
      <c r="G362" s="538">
        <v>-1.0055102231443533</v>
      </c>
      <c r="H362" s="538">
        <v>0</v>
      </c>
      <c r="I362" s="538">
        <v>0</v>
      </c>
      <c r="J362" s="540">
        <v>-0.38060579135394096</v>
      </c>
      <c r="K362" s="540">
        <v>0</v>
      </c>
      <c r="L362" s="538">
        <v>0</v>
      </c>
      <c r="M362" s="538">
        <v>0</v>
      </c>
      <c r="N362" s="538">
        <v>0</v>
      </c>
      <c r="O362" s="540">
        <v>0</v>
      </c>
      <c r="P362" s="540">
        <v>0</v>
      </c>
      <c r="Q362" s="538">
        <v>0</v>
      </c>
      <c r="R362" s="540">
        <v>0</v>
      </c>
      <c r="S362" s="540">
        <v>0</v>
      </c>
      <c r="T362" s="540">
        <v>0</v>
      </c>
      <c r="U362" s="540">
        <v>-0.38060579135394096</v>
      </c>
      <c r="V362" s="535"/>
    </row>
    <row r="363" spans="1:22">
      <c r="A363" s="530"/>
      <c r="B363" s="508" t="s">
        <v>779</v>
      </c>
      <c r="C363" s="527">
        <v>0</v>
      </c>
      <c r="D363" s="528">
        <v>0</v>
      </c>
      <c r="E363" s="528">
        <v>0</v>
      </c>
      <c r="F363" s="528">
        <v>0</v>
      </c>
      <c r="G363" s="528">
        <v>0</v>
      </c>
      <c r="H363" s="528">
        <v>0</v>
      </c>
      <c r="I363" s="528">
        <v>0</v>
      </c>
      <c r="J363" s="529">
        <v>0</v>
      </c>
      <c r="K363" s="529">
        <v>0</v>
      </c>
      <c r="L363" s="528">
        <v>0</v>
      </c>
      <c r="M363" s="528">
        <v>0</v>
      </c>
      <c r="N363" s="528">
        <v>0</v>
      </c>
      <c r="O363" s="529">
        <v>0</v>
      </c>
      <c r="P363" s="529">
        <v>0</v>
      </c>
      <c r="Q363" s="528">
        <v>0</v>
      </c>
      <c r="R363" s="529">
        <v>0</v>
      </c>
      <c r="S363" s="529">
        <v>0</v>
      </c>
      <c r="T363" s="529">
        <v>0</v>
      </c>
      <c r="U363" s="529">
        <v>0</v>
      </c>
      <c r="V363" s="535"/>
    </row>
    <row r="364" spans="1:22">
      <c r="A364" s="530"/>
      <c r="B364" s="531" t="s">
        <v>780</v>
      </c>
      <c r="C364" s="532">
        <v>0</v>
      </c>
      <c r="D364" s="533">
        <v>0</v>
      </c>
      <c r="E364" s="533">
        <v>0</v>
      </c>
      <c r="F364" s="533">
        <v>0</v>
      </c>
      <c r="G364" s="533">
        <v>0</v>
      </c>
      <c r="H364" s="533">
        <v>0</v>
      </c>
      <c r="I364" s="533">
        <v>0</v>
      </c>
      <c r="J364" s="534">
        <v>0</v>
      </c>
      <c r="K364" s="534">
        <v>0</v>
      </c>
      <c r="L364" s="533">
        <v>0</v>
      </c>
      <c r="M364" s="533">
        <v>0</v>
      </c>
      <c r="N364" s="533">
        <v>0</v>
      </c>
      <c r="O364" s="534">
        <v>0</v>
      </c>
      <c r="P364" s="534">
        <v>0</v>
      </c>
      <c r="Q364" s="533">
        <v>0</v>
      </c>
      <c r="R364" s="534">
        <v>0</v>
      </c>
      <c r="S364" s="534">
        <v>0</v>
      </c>
      <c r="T364" s="534">
        <v>0</v>
      </c>
      <c r="U364" s="534">
        <v>0</v>
      </c>
      <c r="V364" s="535"/>
    </row>
    <row r="365" spans="1:22" ht="15.75" thickBot="1">
      <c r="A365" s="546"/>
      <c r="B365" s="547" t="s">
        <v>781</v>
      </c>
      <c r="C365" s="548">
        <v>0</v>
      </c>
      <c r="D365" s="549">
        <v>0</v>
      </c>
      <c r="E365" s="549">
        <v>0</v>
      </c>
      <c r="F365" s="549">
        <v>0</v>
      </c>
      <c r="G365" s="549">
        <v>0</v>
      </c>
      <c r="H365" s="549">
        <v>0</v>
      </c>
      <c r="I365" s="549">
        <v>0</v>
      </c>
      <c r="J365" s="550">
        <v>0</v>
      </c>
      <c r="K365" s="550">
        <v>0</v>
      </c>
      <c r="L365" s="549">
        <v>0</v>
      </c>
      <c r="M365" s="549">
        <v>0</v>
      </c>
      <c r="N365" s="549">
        <v>0</v>
      </c>
      <c r="O365" s="550">
        <v>0</v>
      </c>
      <c r="P365" s="550">
        <v>0</v>
      </c>
      <c r="Q365" s="549">
        <v>0</v>
      </c>
      <c r="R365" s="550">
        <v>0</v>
      </c>
      <c r="S365" s="550">
        <v>0</v>
      </c>
      <c r="T365" s="550">
        <v>0</v>
      </c>
      <c r="U365" s="550">
        <v>0</v>
      </c>
      <c r="V365" s="535"/>
    </row>
    <row r="366" spans="1:22">
      <c r="A366" s="526" t="s">
        <v>411</v>
      </c>
      <c r="B366" s="508" t="s">
        <v>746</v>
      </c>
      <c r="C366" s="527">
        <v>0.85532525736414056</v>
      </c>
      <c r="D366" s="528">
        <v>0</v>
      </c>
      <c r="E366" s="528">
        <v>0.75337371487813543</v>
      </c>
      <c r="F366" s="528">
        <v>0.69749228507734395</v>
      </c>
      <c r="G366" s="528">
        <v>0.7498376767614634</v>
      </c>
      <c r="H366" s="528">
        <v>0.76996793601614011</v>
      </c>
      <c r="I366" s="528">
        <v>0</v>
      </c>
      <c r="J366" s="529">
        <v>0.80089068973699096</v>
      </c>
      <c r="K366" s="529">
        <v>0.64903275590089715</v>
      </c>
      <c r="L366" s="528">
        <v>0.66845915928581467</v>
      </c>
      <c r="M366" s="528">
        <v>0.69720438762330827</v>
      </c>
      <c r="N366" s="528">
        <v>0.6592815826871774</v>
      </c>
      <c r="O366" s="529">
        <v>0.66784982369840351</v>
      </c>
      <c r="P366" s="529">
        <v>0</v>
      </c>
      <c r="Q366" s="528">
        <v>0</v>
      </c>
      <c r="R366" s="529">
        <v>0</v>
      </c>
      <c r="S366" s="529">
        <v>0</v>
      </c>
      <c r="T366" s="529">
        <v>0</v>
      </c>
      <c r="U366" s="529">
        <v>0.75405683864728767</v>
      </c>
      <c r="V366" s="535"/>
    </row>
    <row r="367" spans="1:22">
      <c r="A367" s="530"/>
      <c r="B367" s="531" t="s">
        <v>747</v>
      </c>
      <c r="C367" s="532">
        <v>0.84380675355979851</v>
      </c>
      <c r="D367" s="533">
        <v>0</v>
      </c>
      <c r="E367" s="533">
        <v>0.73184446520589774</v>
      </c>
      <c r="F367" s="533">
        <v>0.66235951738933607</v>
      </c>
      <c r="G367" s="533">
        <v>0.73380604310859032</v>
      </c>
      <c r="H367" s="533">
        <v>0.7409269533055941</v>
      </c>
      <c r="I367" s="533">
        <v>0</v>
      </c>
      <c r="J367" s="534">
        <v>0.78421045458339933</v>
      </c>
      <c r="K367" s="534">
        <v>0.65774356444117754</v>
      </c>
      <c r="L367" s="533">
        <v>0.69502749494188198</v>
      </c>
      <c r="M367" s="533">
        <v>0.67721983132948649</v>
      </c>
      <c r="N367" s="533">
        <v>0.65245664514640733</v>
      </c>
      <c r="O367" s="534">
        <v>0.67558822605472313</v>
      </c>
      <c r="P367" s="534">
        <v>0</v>
      </c>
      <c r="Q367" s="533">
        <v>0</v>
      </c>
      <c r="R367" s="534">
        <v>0</v>
      </c>
      <c r="S367" s="534">
        <v>0</v>
      </c>
      <c r="T367" s="534">
        <v>0</v>
      </c>
      <c r="U367" s="534">
        <v>0.74601599236502092</v>
      </c>
      <c r="V367" s="535"/>
    </row>
    <row r="368" spans="1:22">
      <c r="A368" s="530"/>
      <c r="B368" s="536" t="s">
        <v>748</v>
      </c>
      <c r="C368" s="537">
        <v>-1.1518503804342051</v>
      </c>
      <c r="D368" s="538">
        <v>0</v>
      </c>
      <c r="E368" s="538">
        <v>-2.1529249672237682</v>
      </c>
      <c r="F368" s="538">
        <v>-3.5132767688007882</v>
      </c>
      <c r="G368" s="538">
        <v>-1.6031633652873079</v>
      </c>
      <c r="H368" s="538">
        <v>-2.9040982710546004</v>
      </c>
      <c r="I368" s="538">
        <v>0</v>
      </c>
      <c r="J368" s="540">
        <v>-1.6680235153591627</v>
      </c>
      <c r="K368" s="540">
        <v>0.87108085402803903</v>
      </c>
      <c r="L368" s="538">
        <v>2.656833565606731</v>
      </c>
      <c r="M368" s="538">
        <v>-1.9984556293821787</v>
      </c>
      <c r="N368" s="538">
        <v>-0.68249375407700708</v>
      </c>
      <c r="O368" s="540">
        <v>0.7738402356319618</v>
      </c>
      <c r="P368" s="540">
        <v>0</v>
      </c>
      <c r="Q368" s="538">
        <v>0</v>
      </c>
      <c r="R368" s="540">
        <v>0</v>
      </c>
      <c r="S368" s="540">
        <v>0</v>
      </c>
      <c r="T368" s="540">
        <v>0</v>
      </c>
      <c r="U368" s="540">
        <v>-0.80408462822667559</v>
      </c>
      <c r="V368" s="535"/>
    </row>
    <row r="369" spans="1:22">
      <c r="A369" s="530"/>
      <c r="B369" s="508" t="s">
        <v>749</v>
      </c>
      <c r="C369" s="527">
        <v>1.0215280356867147E-2</v>
      </c>
      <c r="D369" s="528">
        <v>0</v>
      </c>
      <c r="E369" s="528">
        <v>7.1765236673610247E-3</v>
      </c>
      <c r="F369" s="528">
        <v>1.5979868189207869E-2</v>
      </c>
      <c r="G369" s="528">
        <v>1.0422860579716088E-2</v>
      </c>
      <c r="H369" s="528">
        <v>2.810101956263285E-4</v>
      </c>
      <c r="I369" s="528">
        <v>0</v>
      </c>
      <c r="J369" s="529">
        <v>9.4867116001472029E-3</v>
      </c>
      <c r="K369" s="529">
        <v>4.8838379151872708E-5</v>
      </c>
      <c r="L369" s="528">
        <v>3.9027873352719629E-2</v>
      </c>
      <c r="M369" s="528">
        <v>3.7530651592010932E-3</v>
      </c>
      <c r="N369" s="528">
        <v>3.4325213792415668E-2</v>
      </c>
      <c r="O369" s="529">
        <v>2.5723703794566646E-2</v>
      </c>
      <c r="P369" s="529">
        <v>0</v>
      </c>
      <c r="Q369" s="528">
        <v>0</v>
      </c>
      <c r="R369" s="529">
        <v>0</v>
      </c>
      <c r="S369" s="529">
        <v>0</v>
      </c>
      <c r="T369" s="529">
        <v>0</v>
      </c>
      <c r="U369" s="529">
        <v>1.5202555890859764E-2</v>
      </c>
      <c r="V369" s="535"/>
    </row>
    <row r="370" spans="1:22">
      <c r="A370" s="530"/>
      <c r="B370" s="531" t="s">
        <v>750</v>
      </c>
      <c r="C370" s="532">
        <v>1.2096941081423821E-2</v>
      </c>
      <c r="D370" s="533">
        <v>0</v>
      </c>
      <c r="E370" s="533">
        <v>9.9991647939274685E-3</v>
      </c>
      <c r="F370" s="533">
        <v>1.0185604345857854E-2</v>
      </c>
      <c r="G370" s="533">
        <v>1.0605969696221029E-2</v>
      </c>
      <c r="H370" s="533">
        <v>2.3838418862690708E-4</v>
      </c>
      <c r="I370" s="533">
        <v>0</v>
      </c>
      <c r="J370" s="534">
        <v>1.059240822042431E-2</v>
      </c>
      <c r="K370" s="534">
        <v>1.5103990977882723E-5</v>
      </c>
      <c r="L370" s="533">
        <v>4.1284487584286725E-2</v>
      </c>
      <c r="M370" s="533">
        <v>3.8356137947005808E-3</v>
      </c>
      <c r="N370" s="533">
        <v>3.0042115698151087E-2</v>
      </c>
      <c r="O370" s="534">
        <v>2.5918857789086796E-2</v>
      </c>
      <c r="P370" s="534">
        <v>0</v>
      </c>
      <c r="Q370" s="533">
        <v>0</v>
      </c>
      <c r="R370" s="534">
        <v>0</v>
      </c>
      <c r="S370" s="534">
        <v>0</v>
      </c>
      <c r="T370" s="534">
        <v>0</v>
      </c>
      <c r="U370" s="534">
        <v>1.5981595193674633E-2</v>
      </c>
      <c r="V370" s="535"/>
    </row>
    <row r="371" spans="1:22">
      <c r="A371" s="530"/>
      <c r="B371" s="536" t="s">
        <v>751</v>
      </c>
      <c r="C371" s="537">
        <v>0.18816607245566735</v>
      </c>
      <c r="D371" s="538">
        <v>0</v>
      </c>
      <c r="E371" s="538">
        <v>0.28226411265664436</v>
      </c>
      <c r="F371" s="538">
        <v>-0.5794263843350016</v>
      </c>
      <c r="G371" s="538">
        <v>1.8310911650494012E-2</v>
      </c>
      <c r="H371" s="538">
        <v>-4.2626006999421425E-3</v>
      </c>
      <c r="I371" s="538">
        <v>0</v>
      </c>
      <c r="J371" s="540">
        <v>0.11056966202771072</v>
      </c>
      <c r="K371" s="540">
        <v>-3.3734388173989986E-3</v>
      </c>
      <c r="L371" s="538">
        <v>0.22566142315670959</v>
      </c>
      <c r="M371" s="538">
        <v>8.2548635499487665E-3</v>
      </c>
      <c r="N371" s="538">
        <v>-0.42830980942645813</v>
      </c>
      <c r="O371" s="540">
        <v>1.9515399452015025E-2</v>
      </c>
      <c r="P371" s="540">
        <v>0</v>
      </c>
      <c r="Q371" s="538">
        <v>0</v>
      </c>
      <c r="R371" s="540">
        <v>0</v>
      </c>
      <c r="S371" s="540">
        <v>0</v>
      </c>
      <c r="T371" s="540">
        <v>0</v>
      </c>
      <c r="U371" s="540">
        <v>7.7903930281486913E-2</v>
      </c>
      <c r="V371" s="535"/>
    </row>
    <row r="372" spans="1:22">
      <c r="A372" s="530"/>
      <c r="B372" s="508" t="s">
        <v>752</v>
      </c>
      <c r="C372" s="527">
        <v>0.13275608097111929</v>
      </c>
      <c r="D372" s="528">
        <v>0</v>
      </c>
      <c r="E372" s="528">
        <v>0.22666333886899676</v>
      </c>
      <c r="F372" s="528">
        <v>0.27047983411699422</v>
      </c>
      <c r="G372" s="528">
        <v>0.17093149617600623</v>
      </c>
      <c r="H372" s="528">
        <v>0.2168750225168426</v>
      </c>
      <c r="I372" s="528">
        <v>0</v>
      </c>
      <c r="J372" s="529">
        <v>0.17522486902183301</v>
      </c>
      <c r="K372" s="529">
        <v>0.33706295755456467</v>
      </c>
      <c r="L372" s="528">
        <v>0.29033200884962301</v>
      </c>
      <c r="M372" s="528">
        <v>0.23129550942477958</v>
      </c>
      <c r="N372" s="528">
        <v>0.2672685681517864</v>
      </c>
      <c r="O372" s="529">
        <v>0.2821692792221947</v>
      </c>
      <c r="P372" s="529">
        <v>0</v>
      </c>
      <c r="Q372" s="528">
        <v>0</v>
      </c>
      <c r="R372" s="529">
        <v>0</v>
      </c>
      <c r="S372" s="529">
        <v>0</v>
      </c>
      <c r="T372" s="529">
        <v>0</v>
      </c>
      <c r="U372" s="529">
        <v>0.21287208773993108</v>
      </c>
      <c r="V372" s="535"/>
    </row>
    <row r="373" spans="1:22">
      <c r="A373" s="530"/>
      <c r="B373" s="531" t="s">
        <v>753</v>
      </c>
      <c r="C373" s="532">
        <v>0.14331572403677259</v>
      </c>
      <c r="D373" s="533">
        <v>0</v>
      </c>
      <c r="E373" s="533">
        <v>0.24449589486503653</v>
      </c>
      <c r="F373" s="533">
        <v>0.31570452890349754</v>
      </c>
      <c r="G373" s="533">
        <v>0.18781919380512546</v>
      </c>
      <c r="H373" s="533">
        <v>0.24698046694405917</v>
      </c>
      <c r="I373" s="533">
        <v>0</v>
      </c>
      <c r="J373" s="534">
        <v>0.19190615645928205</v>
      </c>
      <c r="K373" s="534">
        <v>0.34224133156784459</v>
      </c>
      <c r="L373" s="533">
        <v>0.25965066972044065</v>
      </c>
      <c r="M373" s="533">
        <v>0.24768415770886001</v>
      </c>
      <c r="N373" s="533">
        <v>0.27681018009059083</v>
      </c>
      <c r="O373" s="534">
        <v>0.27490889956962899</v>
      </c>
      <c r="P373" s="534">
        <v>0</v>
      </c>
      <c r="Q373" s="533">
        <v>0</v>
      </c>
      <c r="R373" s="534">
        <v>0</v>
      </c>
      <c r="S373" s="534">
        <v>0</v>
      </c>
      <c r="T373" s="534">
        <v>0</v>
      </c>
      <c r="U373" s="534">
        <v>0.22109212675920986</v>
      </c>
      <c r="V373" s="535"/>
    </row>
    <row r="374" spans="1:22">
      <c r="A374" s="530"/>
      <c r="B374" s="536" t="s">
        <v>754</v>
      </c>
      <c r="C374" s="537">
        <v>1.0559643065653295</v>
      </c>
      <c r="D374" s="538">
        <v>0</v>
      </c>
      <c r="E374" s="538">
        <v>1.7832555996039778</v>
      </c>
      <c r="F374" s="538">
        <v>4.5224694786503319</v>
      </c>
      <c r="G374" s="538">
        <v>1.6887697629119236</v>
      </c>
      <c r="H374" s="538">
        <v>3.0105444427216579</v>
      </c>
      <c r="I374" s="538">
        <v>0</v>
      </c>
      <c r="J374" s="540">
        <v>1.6681287437449037</v>
      </c>
      <c r="K374" s="540">
        <v>0.51783740132799183</v>
      </c>
      <c r="L374" s="538">
        <v>-3.0681339129182361</v>
      </c>
      <c r="M374" s="538">
        <v>1.6388648284080432</v>
      </c>
      <c r="N374" s="538">
        <v>0.95416119388044285</v>
      </c>
      <c r="O374" s="540">
        <v>-0.72603796525657072</v>
      </c>
      <c r="P374" s="540">
        <v>0</v>
      </c>
      <c r="Q374" s="538">
        <v>0</v>
      </c>
      <c r="R374" s="540">
        <v>0</v>
      </c>
      <c r="S374" s="540">
        <v>0</v>
      </c>
      <c r="T374" s="540">
        <v>0</v>
      </c>
      <c r="U374" s="540">
        <v>0.82200390192787853</v>
      </c>
      <c r="V374" s="535"/>
    </row>
    <row r="375" spans="1:22">
      <c r="A375" s="530"/>
      <c r="B375" s="508" t="s">
        <v>755</v>
      </c>
      <c r="C375" s="527">
        <v>8.2623591121719578E-5</v>
      </c>
      <c r="D375" s="528">
        <v>0</v>
      </c>
      <c r="E375" s="528">
        <v>4.5078859205360316E-3</v>
      </c>
      <c r="F375" s="528">
        <v>1.6048012616453958E-2</v>
      </c>
      <c r="G375" s="528">
        <v>5.7534190400032804E-2</v>
      </c>
      <c r="H375" s="528">
        <v>1.2429297114241452E-2</v>
      </c>
      <c r="I375" s="528">
        <v>0</v>
      </c>
      <c r="J375" s="529">
        <v>1.0316533576804374E-2</v>
      </c>
      <c r="K375" s="529">
        <v>0</v>
      </c>
      <c r="L375" s="528">
        <v>0</v>
      </c>
      <c r="M375" s="528">
        <v>6.2220391966007149E-2</v>
      </c>
      <c r="N375" s="528">
        <v>3.8657159241068093E-2</v>
      </c>
      <c r="O375" s="529">
        <v>2.0079552530687727E-2</v>
      </c>
      <c r="P375" s="529">
        <v>0</v>
      </c>
      <c r="Q375" s="528">
        <v>0</v>
      </c>
      <c r="R375" s="529">
        <v>0</v>
      </c>
      <c r="S375" s="529">
        <v>0</v>
      </c>
      <c r="T375" s="529">
        <v>0</v>
      </c>
      <c r="U375" s="529">
        <v>1.3753370614076102E-2</v>
      </c>
      <c r="V375" s="535"/>
    </row>
    <row r="376" spans="1:22">
      <c r="A376" s="530"/>
      <c r="B376" s="531" t="s">
        <v>756</v>
      </c>
      <c r="C376" s="532">
        <v>1.6141395311876591E-4</v>
      </c>
      <c r="D376" s="533">
        <v>0</v>
      </c>
      <c r="E376" s="533">
        <v>6.0600998751075569E-3</v>
      </c>
      <c r="F376" s="533">
        <v>6.9577026787647368E-3</v>
      </c>
      <c r="G376" s="533">
        <v>5.6866350664064293E-2</v>
      </c>
      <c r="H376" s="533">
        <v>1.1854195561719834E-2</v>
      </c>
      <c r="I376" s="533">
        <v>0</v>
      </c>
      <c r="J376" s="534">
        <v>9.5753325939517218E-3</v>
      </c>
      <c r="K376" s="534">
        <v>0</v>
      </c>
      <c r="L376" s="533">
        <v>0</v>
      </c>
      <c r="M376" s="533">
        <v>6.5697550996777113E-2</v>
      </c>
      <c r="N376" s="533">
        <v>4.0691059064850696E-2</v>
      </c>
      <c r="O376" s="534">
        <v>2.0945245499952879E-2</v>
      </c>
      <c r="P376" s="534">
        <v>0</v>
      </c>
      <c r="Q376" s="533">
        <v>0</v>
      </c>
      <c r="R376" s="534">
        <v>0</v>
      </c>
      <c r="S376" s="534">
        <v>0</v>
      </c>
      <c r="T376" s="534">
        <v>0</v>
      </c>
      <c r="U376" s="534">
        <v>1.3573296130483914E-2</v>
      </c>
      <c r="V376" s="535"/>
    </row>
    <row r="377" spans="1:22">
      <c r="A377" s="530"/>
      <c r="B377" s="536" t="s">
        <v>757</v>
      </c>
      <c r="C377" s="537">
        <v>7.8790361997046338E-3</v>
      </c>
      <c r="D377" s="538">
        <v>0</v>
      </c>
      <c r="E377" s="538">
        <v>0.15522139545715252</v>
      </c>
      <c r="F377" s="538">
        <v>-0.90903099376892205</v>
      </c>
      <c r="G377" s="538">
        <v>-6.6783973596851176E-2</v>
      </c>
      <c r="H377" s="538">
        <v>-5.7510155252161847E-2</v>
      </c>
      <c r="I377" s="538">
        <v>0</v>
      </c>
      <c r="J377" s="540">
        <v>-7.4120098285265251E-2</v>
      </c>
      <c r="K377" s="540">
        <v>0</v>
      </c>
      <c r="L377" s="538">
        <v>0</v>
      </c>
      <c r="M377" s="538">
        <v>0.34771590307699635</v>
      </c>
      <c r="N377" s="538">
        <v>0.20338998237826034</v>
      </c>
      <c r="O377" s="540">
        <v>8.6569296926515202E-2</v>
      </c>
      <c r="P377" s="540">
        <v>0</v>
      </c>
      <c r="Q377" s="538">
        <v>0</v>
      </c>
      <c r="R377" s="540">
        <v>0</v>
      </c>
      <c r="S377" s="540">
        <v>0</v>
      </c>
      <c r="T377" s="540">
        <v>0</v>
      </c>
      <c r="U377" s="540">
        <v>-1.8007448359218768E-2</v>
      </c>
      <c r="V377" s="535"/>
    </row>
    <row r="378" spans="1:22">
      <c r="A378" s="530"/>
      <c r="B378" s="508" t="s">
        <v>758</v>
      </c>
      <c r="C378" s="527">
        <v>1.6207577167513072E-3</v>
      </c>
      <c r="D378" s="528">
        <v>0</v>
      </c>
      <c r="E378" s="528">
        <v>7.5432213721405737E-3</v>
      </c>
      <c r="F378" s="528">
        <v>0</v>
      </c>
      <c r="G378" s="528">
        <v>1.1273776082781434E-2</v>
      </c>
      <c r="H378" s="528">
        <v>4.3232337788665923E-5</v>
      </c>
      <c r="I378" s="528">
        <v>0</v>
      </c>
      <c r="J378" s="529">
        <v>3.8948575231745296E-3</v>
      </c>
      <c r="K378" s="529">
        <v>1.3855448165386287E-2</v>
      </c>
      <c r="L378" s="528">
        <v>2.18095851184266E-3</v>
      </c>
      <c r="M378" s="528">
        <v>5.526645826703854E-3</v>
      </c>
      <c r="N378" s="528">
        <v>4.6747612755241967E-4</v>
      </c>
      <c r="O378" s="529">
        <v>4.177640754147365E-3</v>
      </c>
      <c r="P378" s="529">
        <v>0</v>
      </c>
      <c r="Q378" s="528">
        <v>0</v>
      </c>
      <c r="R378" s="529">
        <v>0</v>
      </c>
      <c r="S378" s="529">
        <v>0</v>
      </c>
      <c r="T378" s="529">
        <v>0</v>
      </c>
      <c r="U378" s="529">
        <v>3.9944045881057343E-3</v>
      </c>
      <c r="V378" s="535"/>
    </row>
    <row r="379" spans="1:22">
      <c r="A379" s="530"/>
      <c r="B379" s="531" t="s">
        <v>759</v>
      </c>
      <c r="C379" s="532">
        <v>6.1916736888634302E-4</v>
      </c>
      <c r="D379" s="533">
        <v>0</v>
      </c>
      <c r="E379" s="533">
        <v>7.6003752600307282E-3</v>
      </c>
      <c r="F379" s="533">
        <v>4.792646682543744E-3</v>
      </c>
      <c r="G379" s="533">
        <v>1.0902442725998921E-2</v>
      </c>
      <c r="H379" s="533">
        <v>0</v>
      </c>
      <c r="I379" s="533">
        <v>0</v>
      </c>
      <c r="J379" s="534">
        <v>3.7156481429425686E-3</v>
      </c>
      <c r="K379" s="534">
        <v>0</v>
      </c>
      <c r="L379" s="533">
        <v>4.0373477533906773E-3</v>
      </c>
      <c r="M379" s="533">
        <v>5.5628461701758107E-3</v>
      </c>
      <c r="N379" s="533">
        <v>0</v>
      </c>
      <c r="O379" s="534">
        <v>2.6387710866082369E-3</v>
      </c>
      <c r="P379" s="534">
        <v>0</v>
      </c>
      <c r="Q379" s="533">
        <v>0</v>
      </c>
      <c r="R379" s="534">
        <v>0</v>
      </c>
      <c r="S379" s="534">
        <v>0</v>
      </c>
      <c r="T379" s="534">
        <v>0</v>
      </c>
      <c r="U379" s="534">
        <v>3.3369895516106689E-3</v>
      </c>
      <c r="V379" s="535"/>
    </row>
    <row r="380" spans="1:22">
      <c r="A380" s="530"/>
      <c r="B380" s="536" t="s">
        <v>760</v>
      </c>
      <c r="C380" s="537">
        <v>-0.10015903478649642</v>
      </c>
      <c r="D380" s="538">
        <v>0</v>
      </c>
      <c r="E380" s="538">
        <v>5.715388789015452E-3</v>
      </c>
      <c r="F380" s="538">
        <v>0</v>
      </c>
      <c r="G380" s="538">
        <v>-3.7133335678251299E-2</v>
      </c>
      <c r="H380" s="538">
        <v>-4.323233778866592E-3</v>
      </c>
      <c r="I380" s="538">
        <v>0</v>
      </c>
      <c r="J380" s="540">
        <v>-1.7920938023196099E-2</v>
      </c>
      <c r="K380" s="540">
        <v>-1.3855448165386288</v>
      </c>
      <c r="L380" s="538">
        <v>0.18563892415480171</v>
      </c>
      <c r="M380" s="538">
        <v>3.6200343471956727E-3</v>
      </c>
      <c r="N380" s="538">
        <v>-4.6747612755241967E-2</v>
      </c>
      <c r="O380" s="540">
        <v>-0.15388696675391281</v>
      </c>
      <c r="P380" s="540">
        <v>0</v>
      </c>
      <c r="Q380" s="538">
        <v>0</v>
      </c>
      <c r="R380" s="540">
        <v>0</v>
      </c>
      <c r="S380" s="540">
        <v>0</v>
      </c>
      <c r="T380" s="540">
        <v>0</v>
      </c>
      <c r="U380" s="540">
        <v>-6.5741503649506539E-2</v>
      </c>
      <c r="V380" s="535"/>
    </row>
    <row r="381" spans="1:22">
      <c r="A381" s="530"/>
      <c r="B381" s="508" t="s">
        <v>761</v>
      </c>
      <c r="C381" s="527">
        <v>0</v>
      </c>
      <c r="D381" s="528">
        <v>0</v>
      </c>
      <c r="E381" s="528">
        <v>7.3531529283019591E-4</v>
      </c>
      <c r="F381" s="528">
        <v>0</v>
      </c>
      <c r="G381" s="528">
        <v>0</v>
      </c>
      <c r="H381" s="528">
        <v>4.0350181936088194E-4</v>
      </c>
      <c r="I381" s="528">
        <v>0</v>
      </c>
      <c r="J381" s="529">
        <v>1.8633854104987125E-4</v>
      </c>
      <c r="K381" s="529">
        <v>0</v>
      </c>
      <c r="L381" s="528">
        <v>0</v>
      </c>
      <c r="M381" s="528">
        <v>0</v>
      </c>
      <c r="N381" s="528">
        <v>0</v>
      </c>
      <c r="O381" s="529">
        <v>0</v>
      </c>
      <c r="P381" s="529">
        <v>0</v>
      </c>
      <c r="Q381" s="528">
        <v>0</v>
      </c>
      <c r="R381" s="529">
        <v>0</v>
      </c>
      <c r="S381" s="529">
        <v>0</v>
      </c>
      <c r="T381" s="529">
        <v>0</v>
      </c>
      <c r="U381" s="529">
        <v>1.2074251973961422E-4</v>
      </c>
      <c r="V381" s="535"/>
    </row>
    <row r="382" spans="1:22">
      <c r="A382" s="530"/>
      <c r="B382" s="531" t="s">
        <v>762</v>
      </c>
      <c r="C382" s="532">
        <v>0</v>
      </c>
      <c r="D382" s="533">
        <v>0</v>
      </c>
      <c r="E382" s="533">
        <v>0</v>
      </c>
      <c r="F382" s="533">
        <v>0</v>
      </c>
      <c r="G382" s="533">
        <v>0</v>
      </c>
      <c r="H382" s="533">
        <v>0</v>
      </c>
      <c r="I382" s="533">
        <v>0</v>
      </c>
      <c r="J382" s="534">
        <v>0</v>
      </c>
      <c r="K382" s="534">
        <v>0</v>
      </c>
      <c r="L382" s="533">
        <v>0</v>
      </c>
      <c r="M382" s="533">
        <v>0</v>
      </c>
      <c r="N382" s="533">
        <v>0</v>
      </c>
      <c r="O382" s="534">
        <v>0</v>
      </c>
      <c r="P382" s="534">
        <v>0</v>
      </c>
      <c r="Q382" s="533">
        <v>0</v>
      </c>
      <c r="R382" s="534">
        <v>0</v>
      </c>
      <c r="S382" s="534">
        <v>0</v>
      </c>
      <c r="T382" s="534">
        <v>0</v>
      </c>
      <c r="U382" s="534">
        <v>0</v>
      </c>
      <c r="V382" s="535"/>
    </row>
    <row r="383" spans="1:22" ht="15.75" thickBot="1">
      <c r="A383" s="530"/>
      <c r="B383" s="542" t="s">
        <v>763</v>
      </c>
      <c r="C383" s="543">
        <v>0</v>
      </c>
      <c r="D383" s="544">
        <v>0</v>
      </c>
      <c r="E383" s="544">
        <v>-7.3531529283019592E-2</v>
      </c>
      <c r="F383" s="544">
        <v>0</v>
      </c>
      <c r="G383" s="544">
        <v>0</v>
      </c>
      <c r="H383" s="544">
        <v>-4.0350181936088192E-2</v>
      </c>
      <c r="I383" s="544">
        <v>0</v>
      </c>
      <c r="J383" s="545">
        <v>-1.8633854104987125E-2</v>
      </c>
      <c r="K383" s="545">
        <v>0</v>
      </c>
      <c r="L383" s="544">
        <v>0</v>
      </c>
      <c r="M383" s="544">
        <v>0</v>
      </c>
      <c r="N383" s="544">
        <v>0</v>
      </c>
      <c r="O383" s="545">
        <v>0</v>
      </c>
      <c r="P383" s="545">
        <v>0</v>
      </c>
      <c r="Q383" s="544">
        <v>0</v>
      </c>
      <c r="R383" s="545">
        <v>0</v>
      </c>
      <c r="S383" s="545">
        <v>0</v>
      </c>
      <c r="T383" s="545">
        <v>0</v>
      </c>
      <c r="U383" s="545">
        <v>-1.2074251973961423E-2</v>
      </c>
      <c r="V383" s="535"/>
    </row>
    <row r="384" spans="1:22" ht="15.75" thickTop="1">
      <c r="A384" s="530"/>
      <c r="B384" s="531" t="s">
        <v>764</v>
      </c>
      <c r="C384" s="532">
        <v>0.70235278319295047</v>
      </c>
      <c r="D384" s="533">
        <v>0</v>
      </c>
      <c r="E384" s="533">
        <v>0.78228059109749504</v>
      </c>
      <c r="F384" s="533">
        <v>0.31020377528427218</v>
      </c>
      <c r="G384" s="533">
        <v>0.48030909233545149</v>
      </c>
      <c r="H384" s="533">
        <v>0.9107142857142857</v>
      </c>
      <c r="I384" s="533">
        <v>0</v>
      </c>
      <c r="J384" s="534">
        <v>0.66255263679175957</v>
      </c>
      <c r="K384" s="534">
        <v>0</v>
      </c>
      <c r="L384" s="533">
        <v>0</v>
      </c>
      <c r="M384" s="533">
        <v>0</v>
      </c>
      <c r="N384" s="533">
        <v>0</v>
      </c>
      <c r="O384" s="534">
        <v>0</v>
      </c>
      <c r="P384" s="534">
        <v>0</v>
      </c>
      <c r="Q384" s="533">
        <v>0</v>
      </c>
      <c r="R384" s="534">
        <v>0</v>
      </c>
      <c r="S384" s="534">
        <v>0</v>
      </c>
      <c r="T384" s="534">
        <v>0</v>
      </c>
      <c r="U384" s="534">
        <v>0.66255263679175957</v>
      </c>
      <c r="V384" s="535"/>
    </row>
    <row r="385" spans="1:22">
      <c r="A385" s="530"/>
      <c r="B385" s="531" t="s">
        <v>765</v>
      </c>
      <c r="C385" s="532">
        <v>0.75929196156680623</v>
      </c>
      <c r="D385" s="533">
        <v>0</v>
      </c>
      <c r="E385" s="533">
        <v>0.59353791424180147</v>
      </c>
      <c r="F385" s="533">
        <v>0.43809799942012179</v>
      </c>
      <c r="G385" s="533">
        <v>0.49659477866061291</v>
      </c>
      <c r="H385" s="533">
        <v>0.94771241830065356</v>
      </c>
      <c r="I385" s="533">
        <v>0</v>
      </c>
      <c r="J385" s="534">
        <v>0.69056985963190964</v>
      </c>
      <c r="K385" s="534">
        <v>0</v>
      </c>
      <c r="L385" s="533">
        <v>0</v>
      </c>
      <c r="M385" s="533">
        <v>0</v>
      </c>
      <c r="N385" s="533">
        <v>0</v>
      </c>
      <c r="O385" s="534">
        <v>0</v>
      </c>
      <c r="P385" s="534">
        <v>0</v>
      </c>
      <c r="Q385" s="533">
        <v>0</v>
      </c>
      <c r="R385" s="534">
        <v>0</v>
      </c>
      <c r="S385" s="534">
        <v>0</v>
      </c>
      <c r="T385" s="534">
        <v>0</v>
      </c>
      <c r="U385" s="534">
        <v>0.64975685003916006</v>
      </c>
      <c r="V385" s="535"/>
    </row>
    <row r="386" spans="1:22">
      <c r="A386" s="530"/>
      <c r="B386" s="536" t="s">
        <v>766</v>
      </c>
      <c r="C386" s="537">
        <v>5.6939178373855759</v>
      </c>
      <c r="D386" s="538">
        <v>0</v>
      </c>
      <c r="E386" s="538">
        <v>-18.874267685569357</v>
      </c>
      <c r="F386" s="538">
        <v>12.789422413584962</v>
      </c>
      <c r="G386" s="538">
        <v>1.6285686325161419</v>
      </c>
      <c r="H386" s="538">
        <v>3.699813258636786</v>
      </c>
      <c r="I386" s="538">
        <v>0</v>
      </c>
      <c r="J386" s="540">
        <v>2.8017222840150069</v>
      </c>
      <c r="K386" s="540">
        <v>0</v>
      </c>
      <c r="L386" s="538">
        <v>0</v>
      </c>
      <c r="M386" s="538">
        <v>0</v>
      </c>
      <c r="N386" s="538">
        <v>0</v>
      </c>
      <c r="O386" s="540">
        <v>0</v>
      </c>
      <c r="P386" s="540">
        <v>0</v>
      </c>
      <c r="Q386" s="538">
        <v>0</v>
      </c>
      <c r="R386" s="540">
        <v>0</v>
      </c>
      <c r="S386" s="540">
        <v>0</v>
      </c>
      <c r="T386" s="540">
        <v>0</v>
      </c>
      <c r="U386" s="540">
        <v>-1.2795786752599514</v>
      </c>
      <c r="V386" s="535"/>
    </row>
    <row r="387" spans="1:22">
      <c r="A387" s="530"/>
      <c r="B387" s="508" t="s">
        <v>767</v>
      </c>
      <c r="C387" s="527">
        <v>8.9036243326217721E-2</v>
      </c>
      <c r="D387" s="528">
        <v>0</v>
      </c>
      <c r="E387" s="528">
        <v>5.8118579924310689E-3</v>
      </c>
      <c r="F387" s="528">
        <v>5.888092468195294E-2</v>
      </c>
      <c r="G387" s="528">
        <v>2.353494939985879E-4</v>
      </c>
      <c r="H387" s="528">
        <v>0</v>
      </c>
      <c r="I387" s="528">
        <v>0</v>
      </c>
      <c r="J387" s="529">
        <v>6.7288829817823984E-2</v>
      </c>
      <c r="K387" s="529">
        <v>0</v>
      </c>
      <c r="L387" s="528">
        <v>0</v>
      </c>
      <c r="M387" s="528">
        <v>0</v>
      </c>
      <c r="N387" s="528">
        <v>0</v>
      </c>
      <c r="O387" s="529">
        <v>0</v>
      </c>
      <c r="P387" s="529">
        <v>0</v>
      </c>
      <c r="Q387" s="528">
        <v>0</v>
      </c>
      <c r="R387" s="529">
        <v>0</v>
      </c>
      <c r="S387" s="529">
        <v>0</v>
      </c>
      <c r="T387" s="529">
        <v>0</v>
      </c>
      <c r="U387" s="529">
        <v>6.7288829817823984E-2</v>
      </c>
      <c r="V387" s="535"/>
    </row>
    <row r="388" spans="1:22">
      <c r="A388" s="530"/>
      <c r="B388" s="531" t="s">
        <v>768</v>
      </c>
      <c r="C388" s="532">
        <v>6.7373963504224782E-2</v>
      </c>
      <c r="D388" s="533">
        <v>0</v>
      </c>
      <c r="E388" s="533">
        <v>3.4710829433401832E-3</v>
      </c>
      <c r="F388" s="533">
        <v>4.6535227602203535E-2</v>
      </c>
      <c r="G388" s="533">
        <v>0</v>
      </c>
      <c r="H388" s="533">
        <v>0</v>
      </c>
      <c r="I388" s="533">
        <v>0</v>
      </c>
      <c r="J388" s="534">
        <v>4.9690620499754715E-2</v>
      </c>
      <c r="K388" s="534">
        <v>0</v>
      </c>
      <c r="L388" s="533">
        <v>0</v>
      </c>
      <c r="M388" s="533">
        <v>0</v>
      </c>
      <c r="N388" s="533">
        <v>0</v>
      </c>
      <c r="O388" s="534">
        <v>0</v>
      </c>
      <c r="P388" s="534">
        <v>0</v>
      </c>
      <c r="Q388" s="533">
        <v>0</v>
      </c>
      <c r="R388" s="534">
        <v>0</v>
      </c>
      <c r="S388" s="534">
        <v>0</v>
      </c>
      <c r="T388" s="534">
        <v>0</v>
      </c>
      <c r="U388" s="534">
        <v>4.6753881018817695E-2</v>
      </c>
      <c r="V388" s="535"/>
    </row>
    <row r="389" spans="1:22">
      <c r="A389" s="530"/>
      <c r="B389" s="536" t="s">
        <v>769</v>
      </c>
      <c r="C389" s="537">
        <v>-2.166227982199294</v>
      </c>
      <c r="D389" s="538">
        <v>0</v>
      </c>
      <c r="E389" s="538">
        <v>-0.23407750490908857</v>
      </c>
      <c r="F389" s="538">
        <v>-1.2345697079749405</v>
      </c>
      <c r="G389" s="538">
        <v>-2.3534949399858791E-2</v>
      </c>
      <c r="H389" s="538">
        <v>0</v>
      </c>
      <c r="I389" s="538">
        <v>0</v>
      </c>
      <c r="J389" s="540">
        <v>-1.7598209318069269</v>
      </c>
      <c r="K389" s="540">
        <v>0</v>
      </c>
      <c r="L389" s="538">
        <v>0</v>
      </c>
      <c r="M389" s="538">
        <v>0</v>
      </c>
      <c r="N389" s="538">
        <v>0</v>
      </c>
      <c r="O389" s="540">
        <v>0</v>
      </c>
      <c r="P389" s="540">
        <v>0</v>
      </c>
      <c r="Q389" s="538">
        <v>0</v>
      </c>
      <c r="R389" s="540">
        <v>0</v>
      </c>
      <c r="S389" s="540">
        <v>0</v>
      </c>
      <c r="T389" s="540">
        <v>0</v>
      </c>
      <c r="U389" s="540">
        <v>-2.053494879900629</v>
      </c>
      <c r="V389" s="535"/>
    </row>
    <row r="390" spans="1:22">
      <c r="A390" s="530"/>
      <c r="B390" s="508" t="s">
        <v>770</v>
      </c>
      <c r="C390" s="527">
        <v>0.18941270715929559</v>
      </c>
      <c r="D390" s="528">
        <v>0</v>
      </c>
      <c r="E390" s="528">
        <v>0.15694269237700487</v>
      </c>
      <c r="F390" s="528">
        <v>0.62708747701429801</v>
      </c>
      <c r="G390" s="528">
        <v>0.43276849454773675</v>
      </c>
      <c r="H390" s="528">
        <v>8.9285714285714288E-2</v>
      </c>
      <c r="I390" s="528">
        <v>0</v>
      </c>
      <c r="J390" s="529">
        <v>0.24172987341610383</v>
      </c>
      <c r="K390" s="529">
        <v>0</v>
      </c>
      <c r="L390" s="528">
        <v>0</v>
      </c>
      <c r="M390" s="528">
        <v>0</v>
      </c>
      <c r="N390" s="528">
        <v>0</v>
      </c>
      <c r="O390" s="529">
        <v>0</v>
      </c>
      <c r="P390" s="529">
        <v>0</v>
      </c>
      <c r="Q390" s="528">
        <v>0</v>
      </c>
      <c r="R390" s="529">
        <v>0</v>
      </c>
      <c r="S390" s="529">
        <v>0</v>
      </c>
      <c r="T390" s="529">
        <v>0</v>
      </c>
      <c r="U390" s="529">
        <v>0.24172987341610383</v>
      </c>
      <c r="V390" s="535"/>
    </row>
    <row r="391" spans="1:22">
      <c r="A391" s="530"/>
      <c r="B391" s="531" t="s">
        <v>771</v>
      </c>
      <c r="C391" s="532">
        <v>0.20576034410037497</v>
      </c>
      <c r="D391" s="533">
        <v>0</v>
      </c>
      <c r="E391" s="533">
        <v>0.13951681143903155</v>
      </c>
      <c r="F391" s="533">
        <v>1.3455107760703586</v>
      </c>
      <c r="G391" s="533">
        <v>0.57529322739311384</v>
      </c>
      <c r="H391" s="533">
        <v>5.2287581699346407E-2</v>
      </c>
      <c r="I391" s="533">
        <v>0</v>
      </c>
      <c r="J391" s="534">
        <v>0.29277586998148469</v>
      </c>
      <c r="K391" s="534">
        <v>0</v>
      </c>
      <c r="L391" s="533">
        <v>0</v>
      </c>
      <c r="M391" s="533">
        <v>0</v>
      </c>
      <c r="N391" s="533">
        <v>0</v>
      </c>
      <c r="O391" s="534">
        <v>0</v>
      </c>
      <c r="P391" s="534">
        <v>0</v>
      </c>
      <c r="Q391" s="533">
        <v>0</v>
      </c>
      <c r="R391" s="534">
        <v>0</v>
      </c>
      <c r="S391" s="534">
        <v>0</v>
      </c>
      <c r="T391" s="534">
        <v>0</v>
      </c>
      <c r="U391" s="534">
        <v>0.27547267578119183</v>
      </c>
      <c r="V391" s="535"/>
    </row>
    <row r="392" spans="1:22">
      <c r="A392" s="530"/>
      <c r="B392" s="536" t="s">
        <v>772</v>
      </c>
      <c r="C392" s="537">
        <v>1.634763694107938</v>
      </c>
      <c r="D392" s="538">
        <v>0</v>
      </c>
      <c r="E392" s="538">
        <v>-1.7425880937973315</v>
      </c>
      <c r="F392" s="538">
        <v>71.842329905606064</v>
      </c>
      <c r="G392" s="538">
        <v>14.252473284537709</v>
      </c>
      <c r="H392" s="538">
        <v>-3.6998132586367882</v>
      </c>
      <c r="I392" s="538">
        <v>0</v>
      </c>
      <c r="J392" s="540">
        <v>5.1045996565380864</v>
      </c>
      <c r="K392" s="540">
        <v>0</v>
      </c>
      <c r="L392" s="538">
        <v>0</v>
      </c>
      <c r="M392" s="538">
        <v>0</v>
      </c>
      <c r="N392" s="538">
        <v>0</v>
      </c>
      <c r="O392" s="540">
        <v>0</v>
      </c>
      <c r="P392" s="540">
        <v>0</v>
      </c>
      <c r="Q392" s="538">
        <v>0</v>
      </c>
      <c r="R392" s="540">
        <v>0</v>
      </c>
      <c r="S392" s="540">
        <v>0</v>
      </c>
      <c r="T392" s="540">
        <v>0</v>
      </c>
      <c r="U392" s="540">
        <v>3.3742802365088003</v>
      </c>
      <c r="V392" s="535"/>
    </row>
    <row r="393" spans="1:22">
      <c r="A393" s="530"/>
      <c r="B393" s="508" t="s">
        <v>773</v>
      </c>
      <c r="C393" s="527">
        <v>1.7920234120681433E-3</v>
      </c>
      <c r="D393" s="528">
        <v>0</v>
      </c>
      <c r="E393" s="528">
        <v>1.0519913497927554E-2</v>
      </c>
      <c r="F393" s="528">
        <v>3.8278230194768643E-3</v>
      </c>
      <c r="G393" s="528">
        <v>4.8599670510708404E-2</v>
      </c>
      <c r="H393" s="528">
        <v>0</v>
      </c>
      <c r="I393" s="528">
        <v>0</v>
      </c>
      <c r="J393" s="529">
        <v>7.0129139855716087E-3</v>
      </c>
      <c r="K393" s="529">
        <v>0</v>
      </c>
      <c r="L393" s="528">
        <v>0</v>
      </c>
      <c r="M393" s="528">
        <v>0</v>
      </c>
      <c r="N393" s="528">
        <v>0</v>
      </c>
      <c r="O393" s="529">
        <v>0</v>
      </c>
      <c r="P393" s="529">
        <v>0</v>
      </c>
      <c r="Q393" s="528">
        <v>0</v>
      </c>
      <c r="R393" s="529">
        <v>0</v>
      </c>
      <c r="S393" s="529">
        <v>0</v>
      </c>
      <c r="T393" s="529">
        <v>0</v>
      </c>
      <c r="U393" s="529">
        <v>7.0129139855716087E-3</v>
      </c>
      <c r="V393" s="535"/>
    </row>
    <row r="394" spans="1:22">
      <c r="A394" s="530"/>
      <c r="B394" s="531" t="s">
        <v>774</v>
      </c>
      <c r="C394" s="532">
        <v>1.2097278807514217E-3</v>
      </c>
      <c r="D394" s="533">
        <v>0</v>
      </c>
      <c r="E394" s="533">
        <v>1.405702246705925E-2</v>
      </c>
      <c r="F394" s="533">
        <v>1.4496955639315743E-4</v>
      </c>
      <c r="G394" s="533">
        <v>4.8571698827090427E-2</v>
      </c>
      <c r="H394" s="533">
        <v>0</v>
      </c>
      <c r="I394" s="533">
        <v>0</v>
      </c>
      <c r="J394" s="534">
        <v>6.6623411561773033E-3</v>
      </c>
      <c r="K394" s="534">
        <v>0</v>
      </c>
      <c r="L394" s="533">
        <v>0</v>
      </c>
      <c r="M394" s="533">
        <v>0</v>
      </c>
      <c r="N394" s="533">
        <v>0</v>
      </c>
      <c r="O394" s="534">
        <v>0</v>
      </c>
      <c r="P394" s="534">
        <v>0</v>
      </c>
      <c r="Q394" s="533">
        <v>0</v>
      </c>
      <c r="R394" s="534">
        <v>0</v>
      </c>
      <c r="S394" s="534">
        <v>0</v>
      </c>
      <c r="T394" s="534">
        <v>0</v>
      </c>
      <c r="U394" s="534">
        <v>6.2685936015675955E-3</v>
      </c>
      <c r="V394" s="535"/>
    </row>
    <row r="395" spans="1:22">
      <c r="A395" s="530"/>
      <c r="B395" s="536" t="s">
        <v>775</v>
      </c>
      <c r="C395" s="537">
        <v>-5.8229553131672156E-2</v>
      </c>
      <c r="D395" s="538">
        <v>0</v>
      </c>
      <c r="E395" s="538">
        <v>0.35371089691316959</v>
      </c>
      <c r="F395" s="538">
        <v>-0.36828534630837073</v>
      </c>
      <c r="G395" s="538">
        <v>-2.7971683617976362E-3</v>
      </c>
      <c r="H395" s="538">
        <v>0</v>
      </c>
      <c r="I395" s="538">
        <v>0</v>
      </c>
      <c r="J395" s="540">
        <v>-3.5057282939430535E-2</v>
      </c>
      <c r="K395" s="540">
        <v>0</v>
      </c>
      <c r="L395" s="538">
        <v>0</v>
      </c>
      <c r="M395" s="538">
        <v>0</v>
      </c>
      <c r="N395" s="538">
        <v>0</v>
      </c>
      <c r="O395" s="540">
        <v>0</v>
      </c>
      <c r="P395" s="540">
        <v>0</v>
      </c>
      <c r="Q395" s="538">
        <v>0</v>
      </c>
      <c r="R395" s="540">
        <v>0</v>
      </c>
      <c r="S395" s="540">
        <v>0</v>
      </c>
      <c r="T395" s="540">
        <v>0</v>
      </c>
      <c r="U395" s="540">
        <v>-7.4432038400401315E-2</v>
      </c>
      <c r="V395" s="535"/>
    </row>
    <row r="396" spans="1:22">
      <c r="A396" s="530"/>
      <c r="B396" s="508" t="s">
        <v>776</v>
      </c>
      <c r="C396" s="527">
        <v>1.740624290946809E-2</v>
      </c>
      <c r="D396" s="528">
        <v>0</v>
      </c>
      <c r="E396" s="528">
        <v>4.4444945035141466E-2</v>
      </c>
      <c r="F396" s="528">
        <v>0</v>
      </c>
      <c r="G396" s="528">
        <v>3.8087393112104809E-2</v>
      </c>
      <c r="H396" s="528">
        <v>0</v>
      </c>
      <c r="I396" s="528">
        <v>0</v>
      </c>
      <c r="J396" s="529">
        <v>2.1415745988740999E-2</v>
      </c>
      <c r="K396" s="529">
        <v>0</v>
      </c>
      <c r="L396" s="528">
        <v>0</v>
      </c>
      <c r="M396" s="528">
        <v>0</v>
      </c>
      <c r="N396" s="528">
        <v>0</v>
      </c>
      <c r="O396" s="529">
        <v>0</v>
      </c>
      <c r="P396" s="529">
        <v>0</v>
      </c>
      <c r="Q396" s="528">
        <v>0</v>
      </c>
      <c r="R396" s="529">
        <v>0</v>
      </c>
      <c r="S396" s="529">
        <v>0</v>
      </c>
      <c r="T396" s="529">
        <v>0</v>
      </c>
      <c r="U396" s="529">
        <v>2.1415745988740999E-2</v>
      </c>
      <c r="V396" s="535"/>
    </row>
    <row r="397" spans="1:22">
      <c r="A397" s="530"/>
      <c r="B397" s="531" t="s">
        <v>777</v>
      </c>
      <c r="C397" s="532">
        <v>7.9350733020936166E-3</v>
      </c>
      <c r="D397" s="533">
        <v>0</v>
      </c>
      <c r="E397" s="533">
        <v>2.4763845476367279E-2</v>
      </c>
      <c r="F397" s="533">
        <v>0</v>
      </c>
      <c r="G397" s="533">
        <v>4.185584562996595E-2</v>
      </c>
      <c r="H397" s="533">
        <v>0</v>
      </c>
      <c r="I397" s="533">
        <v>0</v>
      </c>
      <c r="J397" s="534">
        <v>1.2758145938503902E-2</v>
      </c>
      <c r="K397" s="534">
        <v>0</v>
      </c>
      <c r="L397" s="533">
        <v>0</v>
      </c>
      <c r="M397" s="533">
        <v>0</v>
      </c>
      <c r="N397" s="533">
        <v>0</v>
      </c>
      <c r="O397" s="534">
        <v>0</v>
      </c>
      <c r="P397" s="534">
        <v>0</v>
      </c>
      <c r="Q397" s="533">
        <v>0</v>
      </c>
      <c r="R397" s="534">
        <v>0</v>
      </c>
      <c r="S397" s="534">
        <v>0</v>
      </c>
      <c r="T397" s="534">
        <v>0</v>
      </c>
      <c r="U397" s="534">
        <v>1.2004133400436568E-2</v>
      </c>
      <c r="V397" s="535"/>
    </row>
    <row r="398" spans="1:22">
      <c r="A398" s="530"/>
      <c r="B398" s="536" t="s">
        <v>778</v>
      </c>
      <c r="C398" s="537">
        <v>-0.94711696073744733</v>
      </c>
      <c r="D398" s="538">
        <v>0</v>
      </c>
      <c r="E398" s="538">
        <v>-1.9681099558774187</v>
      </c>
      <c r="F398" s="538">
        <v>0</v>
      </c>
      <c r="G398" s="538">
        <v>0.37684525178611417</v>
      </c>
      <c r="H398" s="538">
        <v>0</v>
      </c>
      <c r="I398" s="538">
        <v>0</v>
      </c>
      <c r="J398" s="540">
        <v>-0.86576000502370976</v>
      </c>
      <c r="K398" s="540">
        <v>0</v>
      </c>
      <c r="L398" s="538">
        <v>0</v>
      </c>
      <c r="M398" s="538">
        <v>0</v>
      </c>
      <c r="N398" s="538">
        <v>0</v>
      </c>
      <c r="O398" s="540">
        <v>0</v>
      </c>
      <c r="P398" s="540">
        <v>0</v>
      </c>
      <c r="Q398" s="538">
        <v>0</v>
      </c>
      <c r="R398" s="540">
        <v>0</v>
      </c>
      <c r="S398" s="540">
        <v>0</v>
      </c>
      <c r="T398" s="540">
        <v>0</v>
      </c>
      <c r="U398" s="540">
        <v>-0.9411612588304431</v>
      </c>
      <c r="V398" s="535"/>
    </row>
    <row r="399" spans="1:22">
      <c r="A399" s="530"/>
      <c r="B399" s="508" t="s">
        <v>779</v>
      </c>
      <c r="C399" s="527">
        <v>0</v>
      </c>
      <c r="D399" s="528">
        <v>0</v>
      </c>
      <c r="E399" s="528">
        <v>0</v>
      </c>
      <c r="F399" s="528">
        <v>0</v>
      </c>
      <c r="G399" s="528">
        <v>0</v>
      </c>
      <c r="H399" s="528">
        <v>0</v>
      </c>
      <c r="I399" s="528">
        <v>0</v>
      </c>
      <c r="J399" s="529">
        <v>0</v>
      </c>
      <c r="K399" s="529">
        <v>0</v>
      </c>
      <c r="L399" s="528">
        <v>0</v>
      </c>
      <c r="M399" s="528">
        <v>0</v>
      </c>
      <c r="N399" s="528">
        <v>0</v>
      </c>
      <c r="O399" s="529">
        <v>0</v>
      </c>
      <c r="P399" s="529">
        <v>0</v>
      </c>
      <c r="Q399" s="528">
        <v>0</v>
      </c>
      <c r="R399" s="529">
        <v>0</v>
      </c>
      <c r="S399" s="529">
        <v>0</v>
      </c>
      <c r="T399" s="529">
        <v>0</v>
      </c>
      <c r="U399" s="529">
        <v>0</v>
      </c>
      <c r="V399" s="535"/>
    </row>
    <row r="400" spans="1:22">
      <c r="A400" s="530"/>
      <c r="B400" s="531" t="s">
        <v>780</v>
      </c>
      <c r="C400" s="532">
        <v>0</v>
      </c>
      <c r="D400" s="533">
        <v>0</v>
      </c>
      <c r="E400" s="533">
        <v>0</v>
      </c>
      <c r="F400" s="533">
        <v>0</v>
      </c>
      <c r="G400" s="533">
        <v>0</v>
      </c>
      <c r="H400" s="533">
        <v>0</v>
      </c>
      <c r="I400" s="533">
        <v>0</v>
      </c>
      <c r="J400" s="534">
        <v>0</v>
      </c>
      <c r="K400" s="534">
        <v>0</v>
      </c>
      <c r="L400" s="533">
        <v>0</v>
      </c>
      <c r="M400" s="533">
        <v>0</v>
      </c>
      <c r="N400" s="533">
        <v>0</v>
      </c>
      <c r="O400" s="534">
        <v>0</v>
      </c>
      <c r="P400" s="534">
        <v>0</v>
      </c>
      <c r="Q400" s="533">
        <v>0</v>
      </c>
      <c r="R400" s="534">
        <v>0</v>
      </c>
      <c r="S400" s="534">
        <v>0</v>
      </c>
      <c r="T400" s="534">
        <v>0</v>
      </c>
      <c r="U400" s="534">
        <v>0</v>
      </c>
      <c r="V400" s="535"/>
    </row>
    <row r="401" spans="1:22" ht="15.75" thickBot="1">
      <c r="A401" s="546"/>
      <c r="B401" s="547" t="s">
        <v>781</v>
      </c>
      <c r="C401" s="548">
        <v>0</v>
      </c>
      <c r="D401" s="549">
        <v>0</v>
      </c>
      <c r="E401" s="549">
        <v>0</v>
      </c>
      <c r="F401" s="549">
        <v>0</v>
      </c>
      <c r="G401" s="549">
        <v>0</v>
      </c>
      <c r="H401" s="549">
        <v>0</v>
      </c>
      <c r="I401" s="549">
        <v>0</v>
      </c>
      <c r="J401" s="550">
        <v>0</v>
      </c>
      <c r="K401" s="550">
        <v>0</v>
      </c>
      <c r="L401" s="549">
        <v>0</v>
      </c>
      <c r="M401" s="549">
        <v>0</v>
      </c>
      <c r="N401" s="549">
        <v>0</v>
      </c>
      <c r="O401" s="550">
        <v>0</v>
      </c>
      <c r="P401" s="550">
        <v>0</v>
      </c>
      <c r="Q401" s="549">
        <v>0</v>
      </c>
      <c r="R401" s="550">
        <v>0</v>
      </c>
      <c r="S401" s="550">
        <v>0</v>
      </c>
      <c r="T401" s="550">
        <v>0</v>
      </c>
      <c r="U401" s="550">
        <v>0</v>
      </c>
      <c r="V401" s="535"/>
    </row>
    <row r="402" spans="1:22">
      <c r="A402" s="526" t="s">
        <v>439</v>
      </c>
      <c r="B402" s="508" t="s">
        <v>746</v>
      </c>
      <c r="C402" s="527">
        <v>0.82805012673752176</v>
      </c>
      <c r="D402" s="528">
        <v>0</v>
      </c>
      <c r="E402" s="528">
        <v>0.91843067511373655</v>
      </c>
      <c r="F402" s="528">
        <v>0.84183194127546224</v>
      </c>
      <c r="G402" s="528">
        <v>0.94089568743088836</v>
      </c>
      <c r="H402" s="528">
        <v>0.78411457575268406</v>
      </c>
      <c r="I402" s="528">
        <v>0</v>
      </c>
      <c r="J402" s="529">
        <v>0.84794233578153677</v>
      </c>
      <c r="K402" s="529">
        <v>0</v>
      </c>
      <c r="L402" s="528">
        <v>0.61191020522425366</v>
      </c>
      <c r="M402" s="528">
        <v>0.5671251864366722</v>
      </c>
      <c r="N402" s="528">
        <v>0.62647675643809908</v>
      </c>
      <c r="O402" s="529">
        <v>0.59887426223991402</v>
      </c>
      <c r="P402" s="529">
        <v>0</v>
      </c>
      <c r="Q402" s="528">
        <v>0</v>
      </c>
      <c r="R402" s="529">
        <v>0</v>
      </c>
      <c r="S402" s="529">
        <v>0</v>
      </c>
      <c r="T402" s="529">
        <v>0</v>
      </c>
      <c r="U402" s="529">
        <v>0.74876291517432425</v>
      </c>
      <c r="V402" s="535"/>
    </row>
    <row r="403" spans="1:22">
      <c r="A403" s="530"/>
      <c r="B403" s="531" t="s">
        <v>747</v>
      </c>
      <c r="C403" s="532">
        <v>0.88042748057019116</v>
      </c>
      <c r="D403" s="533">
        <v>0</v>
      </c>
      <c r="E403" s="533">
        <v>0.90722742846095072</v>
      </c>
      <c r="F403" s="533">
        <v>0.81780675114442136</v>
      </c>
      <c r="G403" s="533">
        <v>0.91335193559767791</v>
      </c>
      <c r="H403" s="533">
        <v>0.7504414376396823</v>
      </c>
      <c r="I403" s="533">
        <v>0</v>
      </c>
      <c r="J403" s="534">
        <v>0.86261164455559058</v>
      </c>
      <c r="K403" s="534">
        <v>0</v>
      </c>
      <c r="L403" s="533">
        <v>0.56493687072898569</v>
      </c>
      <c r="M403" s="533">
        <v>0.58819017627560766</v>
      </c>
      <c r="N403" s="533">
        <v>0.61757075994286703</v>
      </c>
      <c r="O403" s="534">
        <v>0.58167573416969875</v>
      </c>
      <c r="P403" s="534">
        <v>0</v>
      </c>
      <c r="Q403" s="533">
        <v>0</v>
      </c>
      <c r="R403" s="534">
        <v>0</v>
      </c>
      <c r="S403" s="534">
        <v>0</v>
      </c>
      <c r="T403" s="534">
        <v>0</v>
      </c>
      <c r="U403" s="534">
        <v>0.7545406288843628</v>
      </c>
      <c r="V403" s="535"/>
    </row>
    <row r="404" spans="1:22">
      <c r="A404" s="530"/>
      <c r="B404" s="536" t="s">
        <v>748</v>
      </c>
      <c r="C404" s="537">
        <v>5.2377353832669389</v>
      </c>
      <c r="D404" s="538">
        <v>0</v>
      </c>
      <c r="E404" s="538">
        <v>-1.1203246652785825</v>
      </c>
      <c r="F404" s="538">
        <v>-2.4025190131040874</v>
      </c>
      <c r="G404" s="538">
        <v>-2.754375183321045</v>
      </c>
      <c r="H404" s="538">
        <v>-3.3673138113001766</v>
      </c>
      <c r="I404" s="538">
        <v>0</v>
      </c>
      <c r="J404" s="540">
        <v>1.4669308774053813</v>
      </c>
      <c r="K404" s="540">
        <v>0</v>
      </c>
      <c r="L404" s="538">
        <v>-4.6973334495267967</v>
      </c>
      <c r="M404" s="538">
        <v>2.1064989838935455</v>
      </c>
      <c r="N404" s="538">
        <v>-0.89059964952320492</v>
      </c>
      <c r="O404" s="540">
        <v>-1.7198528070215269</v>
      </c>
      <c r="P404" s="540">
        <v>0</v>
      </c>
      <c r="Q404" s="538">
        <v>0</v>
      </c>
      <c r="R404" s="540">
        <v>0</v>
      </c>
      <c r="S404" s="540">
        <v>0</v>
      </c>
      <c r="T404" s="540">
        <v>0</v>
      </c>
      <c r="U404" s="540">
        <v>0.57777137100385456</v>
      </c>
      <c r="V404" s="535"/>
    </row>
    <row r="405" spans="1:22">
      <c r="A405" s="530"/>
      <c r="B405" s="508" t="s">
        <v>749</v>
      </c>
      <c r="C405" s="527">
        <v>8.2797981767482862E-2</v>
      </c>
      <c r="D405" s="528">
        <v>0</v>
      </c>
      <c r="E405" s="528">
        <v>1.2427081296283313E-2</v>
      </c>
      <c r="F405" s="528">
        <v>8.579481514366244E-3</v>
      </c>
      <c r="G405" s="528">
        <v>4.976041282712864E-4</v>
      </c>
      <c r="H405" s="528">
        <v>6.9561581556098345E-2</v>
      </c>
      <c r="I405" s="528">
        <v>0</v>
      </c>
      <c r="J405" s="529">
        <v>5.4424729095068007E-2</v>
      </c>
      <c r="K405" s="529">
        <v>0</v>
      </c>
      <c r="L405" s="528">
        <v>6.5210967511158804E-2</v>
      </c>
      <c r="M405" s="528">
        <v>7.7244665595687129E-2</v>
      </c>
      <c r="N405" s="528">
        <v>0.15818699878369816</v>
      </c>
      <c r="O405" s="529">
        <v>8.4413313635941914E-2</v>
      </c>
      <c r="P405" s="529">
        <v>0</v>
      </c>
      <c r="Q405" s="528">
        <v>0</v>
      </c>
      <c r="R405" s="529">
        <v>0</v>
      </c>
      <c r="S405" s="529">
        <v>0</v>
      </c>
      <c r="T405" s="529">
        <v>0</v>
      </c>
      <c r="U405" s="529">
        <v>6.6366245313112096E-2</v>
      </c>
      <c r="V405" s="535"/>
    </row>
    <row r="406" spans="1:22">
      <c r="A406" s="530"/>
      <c r="B406" s="531" t="s">
        <v>750</v>
      </c>
      <c r="C406" s="532">
        <v>1.5939557526321119E-2</v>
      </c>
      <c r="D406" s="533">
        <v>0</v>
      </c>
      <c r="E406" s="533">
        <v>1.3999215501103317E-2</v>
      </c>
      <c r="F406" s="533">
        <v>8.662336639629677E-3</v>
      </c>
      <c r="G406" s="533">
        <v>4.939221912184483E-3</v>
      </c>
      <c r="H406" s="533">
        <v>3.8239655060309623E-2</v>
      </c>
      <c r="I406" s="533">
        <v>0</v>
      </c>
      <c r="J406" s="534">
        <v>1.7323304143141528E-2</v>
      </c>
      <c r="K406" s="534">
        <v>0</v>
      </c>
      <c r="L406" s="533">
        <v>6.9224029498724152E-2</v>
      </c>
      <c r="M406" s="533">
        <v>7.1998634936832034E-2</v>
      </c>
      <c r="N406" s="533">
        <v>0.13247952111975075</v>
      </c>
      <c r="O406" s="534">
        <v>8.0801081222359017E-2</v>
      </c>
      <c r="P406" s="534">
        <v>0</v>
      </c>
      <c r="Q406" s="533">
        <v>0</v>
      </c>
      <c r="R406" s="534">
        <v>0</v>
      </c>
      <c r="S406" s="534">
        <v>0</v>
      </c>
      <c r="T406" s="534">
        <v>0</v>
      </c>
      <c r="U406" s="534">
        <v>4.1742068665198591E-2</v>
      </c>
      <c r="V406" s="535"/>
    </row>
    <row r="407" spans="1:22">
      <c r="A407" s="530"/>
      <c r="B407" s="536" t="s">
        <v>751</v>
      </c>
      <c r="C407" s="537">
        <v>-6.6858424241161742</v>
      </c>
      <c r="D407" s="538">
        <v>0</v>
      </c>
      <c r="E407" s="538">
        <v>0.1572134204820004</v>
      </c>
      <c r="F407" s="538">
        <v>8.2855125263433041E-3</v>
      </c>
      <c r="G407" s="538">
        <v>0.44416177839131965</v>
      </c>
      <c r="H407" s="538">
        <v>-3.1321926495788723</v>
      </c>
      <c r="I407" s="538">
        <v>0</v>
      </c>
      <c r="J407" s="540">
        <v>-3.7101424951926476</v>
      </c>
      <c r="K407" s="540">
        <v>0</v>
      </c>
      <c r="L407" s="538">
        <v>0.40130619875653473</v>
      </c>
      <c r="M407" s="538">
        <v>-0.52460306588550942</v>
      </c>
      <c r="N407" s="538">
        <v>-2.5707477663947405</v>
      </c>
      <c r="O407" s="540">
        <v>-0.3612232413582897</v>
      </c>
      <c r="P407" s="540">
        <v>0</v>
      </c>
      <c r="Q407" s="538">
        <v>0</v>
      </c>
      <c r="R407" s="540">
        <v>0</v>
      </c>
      <c r="S407" s="540">
        <v>0</v>
      </c>
      <c r="T407" s="540">
        <v>0</v>
      </c>
      <c r="U407" s="540">
        <v>-2.4624176647913507</v>
      </c>
      <c r="V407" s="535"/>
    </row>
    <row r="408" spans="1:22">
      <c r="A408" s="530"/>
      <c r="B408" s="508" t="s">
        <v>752</v>
      </c>
      <c r="C408" s="527">
        <v>8.9030119097753518E-2</v>
      </c>
      <c r="D408" s="528">
        <v>0</v>
      </c>
      <c r="E408" s="528">
        <v>6.9142243589980112E-2</v>
      </c>
      <c r="F408" s="528">
        <v>0.14958857721017149</v>
      </c>
      <c r="G408" s="528">
        <v>5.8496129745669E-2</v>
      </c>
      <c r="H408" s="528">
        <v>0.14632384269121759</v>
      </c>
      <c r="I408" s="528">
        <v>0</v>
      </c>
      <c r="J408" s="529">
        <v>9.7565370083871464E-2</v>
      </c>
      <c r="K408" s="529">
        <v>0</v>
      </c>
      <c r="L408" s="528">
        <v>0.32287882726458755</v>
      </c>
      <c r="M408" s="528">
        <v>0.33223094832789857</v>
      </c>
      <c r="N408" s="528">
        <v>0.20088969599230241</v>
      </c>
      <c r="O408" s="529">
        <v>0.30632737525671661</v>
      </c>
      <c r="P408" s="529">
        <v>0</v>
      </c>
      <c r="Q408" s="528">
        <v>0</v>
      </c>
      <c r="R408" s="529">
        <v>0</v>
      </c>
      <c r="S408" s="529">
        <v>0</v>
      </c>
      <c r="T408" s="529">
        <v>0</v>
      </c>
      <c r="U408" s="529">
        <v>0.18069483113212825</v>
      </c>
      <c r="V408" s="535"/>
    </row>
    <row r="409" spans="1:22">
      <c r="A409" s="530"/>
      <c r="B409" s="531" t="s">
        <v>753</v>
      </c>
      <c r="C409" s="532">
        <v>0.10359261217754728</v>
      </c>
      <c r="D409" s="533">
        <v>0</v>
      </c>
      <c r="E409" s="533">
        <v>7.8773356037945955E-2</v>
      </c>
      <c r="F409" s="533">
        <v>0.17353091221594896</v>
      </c>
      <c r="G409" s="533">
        <v>8.1708842490137587E-2</v>
      </c>
      <c r="H409" s="533">
        <v>0.21131890730000802</v>
      </c>
      <c r="I409" s="533">
        <v>0</v>
      </c>
      <c r="J409" s="534">
        <v>0.120044626468326</v>
      </c>
      <c r="K409" s="534">
        <v>0</v>
      </c>
      <c r="L409" s="533">
        <v>0.36583909977229012</v>
      </c>
      <c r="M409" s="533">
        <v>0.32229850958078371</v>
      </c>
      <c r="N409" s="533">
        <v>0.23587443028999389</v>
      </c>
      <c r="O409" s="534">
        <v>0.32921512794235314</v>
      </c>
      <c r="P409" s="534">
        <v>0</v>
      </c>
      <c r="Q409" s="533">
        <v>0</v>
      </c>
      <c r="R409" s="534">
        <v>0</v>
      </c>
      <c r="S409" s="534">
        <v>0</v>
      </c>
      <c r="T409" s="534">
        <v>0</v>
      </c>
      <c r="U409" s="534">
        <v>0.20050877400897935</v>
      </c>
      <c r="V409" s="535"/>
    </row>
    <row r="410" spans="1:22">
      <c r="A410" s="530"/>
      <c r="B410" s="536" t="s">
        <v>754</v>
      </c>
      <c r="C410" s="537">
        <v>1.4562493079793764</v>
      </c>
      <c r="D410" s="538">
        <v>0</v>
      </c>
      <c r="E410" s="538">
        <v>0.96311124479658416</v>
      </c>
      <c r="F410" s="538">
        <v>2.3942335005777471</v>
      </c>
      <c r="G410" s="538">
        <v>2.3212712744468589</v>
      </c>
      <c r="H410" s="538">
        <v>6.4995064608790427</v>
      </c>
      <c r="I410" s="538">
        <v>0</v>
      </c>
      <c r="J410" s="540">
        <v>2.2479256384454542</v>
      </c>
      <c r="K410" s="540">
        <v>0</v>
      </c>
      <c r="L410" s="538">
        <v>4.2960272507702566</v>
      </c>
      <c r="M410" s="538">
        <v>-0.99324387471148579</v>
      </c>
      <c r="N410" s="538">
        <v>3.4984734297691471</v>
      </c>
      <c r="O410" s="540">
        <v>2.2887752685636533</v>
      </c>
      <c r="P410" s="540">
        <v>0</v>
      </c>
      <c r="Q410" s="538">
        <v>0</v>
      </c>
      <c r="R410" s="540">
        <v>0</v>
      </c>
      <c r="S410" s="540">
        <v>0</v>
      </c>
      <c r="T410" s="540">
        <v>0</v>
      </c>
      <c r="U410" s="540">
        <v>1.9813942876851094</v>
      </c>
      <c r="V410" s="535"/>
    </row>
    <row r="411" spans="1:22">
      <c r="A411" s="530"/>
      <c r="B411" s="508" t="s">
        <v>755</v>
      </c>
      <c r="C411" s="527">
        <v>1.217723972418552E-4</v>
      </c>
      <c r="D411" s="528">
        <v>0</v>
      </c>
      <c r="E411" s="528">
        <v>0</v>
      </c>
      <c r="F411" s="528">
        <v>0</v>
      </c>
      <c r="G411" s="528">
        <v>0</v>
      </c>
      <c r="H411" s="528">
        <v>0</v>
      </c>
      <c r="I411" s="528">
        <v>0</v>
      </c>
      <c r="J411" s="529">
        <v>6.1026487311757809E-5</v>
      </c>
      <c r="K411" s="529">
        <v>0</v>
      </c>
      <c r="L411" s="528">
        <v>0</v>
      </c>
      <c r="M411" s="528">
        <v>2.3399199639742071E-2</v>
      </c>
      <c r="N411" s="528">
        <v>1.4446548785900385E-2</v>
      </c>
      <c r="O411" s="529">
        <v>1.0385048867427443E-2</v>
      </c>
      <c r="P411" s="529">
        <v>0</v>
      </c>
      <c r="Q411" s="528">
        <v>0</v>
      </c>
      <c r="R411" s="529">
        <v>0</v>
      </c>
      <c r="S411" s="529">
        <v>0</v>
      </c>
      <c r="T411" s="529">
        <v>0</v>
      </c>
      <c r="U411" s="529">
        <v>4.1720734932005153E-3</v>
      </c>
      <c r="V411" s="535"/>
    </row>
    <row r="412" spans="1:22">
      <c r="A412" s="530"/>
      <c r="B412" s="531" t="s">
        <v>756</v>
      </c>
      <c r="C412" s="532">
        <v>4.0349725940414074E-5</v>
      </c>
      <c r="D412" s="533">
        <v>0</v>
      </c>
      <c r="E412" s="533">
        <v>0</v>
      </c>
      <c r="F412" s="533">
        <v>0</v>
      </c>
      <c r="G412" s="533">
        <v>0</v>
      </c>
      <c r="H412" s="533">
        <v>0</v>
      </c>
      <c r="I412" s="533">
        <v>0</v>
      </c>
      <c r="J412" s="534">
        <v>2.0424832941887229E-5</v>
      </c>
      <c r="K412" s="534">
        <v>0</v>
      </c>
      <c r="L412" s="533">
        <v>0</v>
      </c>
      <c r="M412" s="533">
        <v>1.7512679206776662E-2</v>
      </c>
      <c r="N412" s="533">
        <v>1.4075288647388282E-2</v>
      </c>
      <c r="O412" s="534">
        <v>8.3080566655891128E-3</v>
      </c>
      <c r="P412" s="534">
        <v>0</v>
      </c>
      <c r="Q412" s="533">
        <v>0</v>
      </c>
      <c r="R412" s="534">
        <v>0</v>
      </c>
      <c r="S412" s="534">
        <v>0</v>
      </c>
      <c r="T412" s="534">
        <v>0</v>
      </c>
      <c r="U412" s="534">
        <v>3.208528441459294E-3</v>
      </c>
      <c r="V412" s="535"/>
    </row>
    <row r="413" spans="1:22">
      <c r="A413" s="530"/>
      <c r="B413" s="536" t="s">
        <v>757</v>
      </c>
      <c r="C413" s="537">
        <v>-8.1422671301441124E-3</v>
      </c>
      <c r="D413" s="538">
        <v>0</v>
      </c>
      <c r="E413" s="538">
        <v>0</v>
      </c>
      <c r="F413" s="538">
        <v>0</v>
      </c>
      <c r="G413" s="538">
        <v>0</v>
      </c>
      <c r="H413" s="538">
        <v>0</v>
      </c>
      <c r="I413" s="538">
        <v>0</v>
      </c>
      <c r="J413" s="540">
        <v>-4.0601654369870578E-3</v>
      </c>
      <c r="K413" s="540">
        <v>0</v>
      </c>
      <c r="L413" s="538">
        <v>0</v>
      </c>
      <c r="M413" s="538">
        <v>-0.58865204329654097</v>
      </c>
      <c r="N413" s="538">
        <v>-3.7126013851210282E-2</v>
      </c>
      <c r="O413" s="540">
        <v>-0.20769922018383305</v>
      </c>
      <c r="P413" s="540">
        <v>0</v>
      </c>
      <c r="Q413" s="538">
        <v>0</v>
      </c>
      <c r="R413" s="540">
        <v>0</v>
      </c>
      <c r="S413" s="540">
        <v>0</v>
      </c>
      <c r="T413" s="540">
        <v>0</v>
      </c>
      <c r="U413" s="540">
        <v>-9.6354505174122126E-2</v>
      </c>
      <c r="V413" s="535"/>
    </row>
    <row r="414" spans="1:22">
      <c r="A414" s="530"/>
      <c r="B414" s="508" t="s">
        <v>758</v>
      </c>
      <c r="C414" s="527">
        <v>0</v>
      </c>
      <c r="D414" s="528">
        <v>0</v>
      </c>
      <c r="E414" s="528">
        <v>0</v>
      </c>
      <c r="F414" s="528">
        <v>0</v>
      </c>
      <c r="G414" s="528">
        <v>1.1057869517139698E-4</v>
      </c>
      <c r="H414" s="528">
        <v>0</v>
      </c>
      <c r="I414" s="528">
        <v>0</v>
      </c>
      <c r="J414" s="529">
        <v>6.5385522119740505E-6</v>
      </c>
      <c r="K414" s="529">
        <v>0</v>
      </c>
      <c r="L414" s="528">
        <v>0</v>
      </c>
      <c r="M414" s="528">
        <v>0</v>
      </c>
      <c r="N414" s="528">
        <v>0</v>
      </c>
      <c r="O414" s="529">
        <v>0</v>
      </c>
      <c r="P414" s="529">
        <v>0</v>
      </c>
      <c r="Q414" s="528">
        <v>0</v>
      </c>
      <c r="R414" s="529">
        <v>0</v>
      </c>
      <c r="S414" s="529">
        <v>0</v>
      </c>
      <c r="T414" s="529">
        <v>0</v>
      </c>
      <c r="U414" s="529">
        <v>3.9348872348760424E-6</v>
      </c>
      <c r="V414" s="535"/>
    </row>
    <row r="415" spans="1:22">
      <c r="A415" s="530"/>
      <c r="B415" s="531" t="s">
        <v>759</v>
      </c>
      <c r="C415" s="532">
        <v>0</v>
      </c>
      <c r="D415" s="533">
        <v>0</v>
      </c>
      <c r="E415" s="533">
        <v>0</v>
      </c>
      <c r="F415" s="533">
        <v>0</v>
      </c>
      <c r="G415" s="533">
        <v>0</v>
      </c>
      <c r="H415" s="533">
        <v>0</v>
      </c>
      <c r="I415" s="533">
        <v>0</v>
      </c>
      <c r="J415" s="534">
        <v>0</v>
      </c>
      <c r="K415" s="534">
        <v>0</v>
      </c>
      <c r="L415" s="533">
        <v>0</v>
      </c>
      <c r="M415" s="533">
        <v>0</v>
      </c>
      <c r="N415" s="533">
        <v>0</v>
      </c>
      <c r="O415" s="534">
        <v>0</v>
      </c>
      <c r="P415" s="534">
        <v>0</v>
      </c>
      <c r="Q415" s="533">
        <v>0</v>
      </c>
      <c r="R415" s="534">
        <v>0</v>
      </c>
      <c r="S415" s="534">
        <v>0</v>
      </c>
      <c r="T415" s="534">
        <v>0</v>
      </c>
      <c r="U415" s="534">
        <v>0</v>
      </c>
      <c r="V415" s="535"/>
    </row>
    <row r="416" spans="1:22">
      <c r="A416" s="530"/>
      <c r="B416" s="536" t="s">
        <v>760</v>
      </c>
      <c r="C416" s="537">
        <v>0</v>
      </c>
      <c r="D416" s="538">
        <v>0</v>
      </c>
      <c r="E416" s="538">
        <v>0</v>
      </c>
      <c r="F416" s="538">
        <v>0</v>
      </c>
      <c r="G416" s="538">
        <v>-1.1057869517139699E-2</v>
      </c>
      <c r="H416" s="538">
        <v>0</v>
      </c>
      <c r="I416" s="538">
        <v>0</v>
      </c>
      <c r="J416" s="540">
        <v>-6.5385522119740507E-4</v>
      </c>
      <c r="K416" s="540">
        <v>0</v>
      </c>
      <c r="L416" s="538">
        <v>0</v>
      </c>
      <c r="M416" s="538">
        <v>0</v>
      </c>
      <c r="N416" s="538">
        <v>0</v>
      </c>
      <c r="O416" s="540">
        <v>0</v>
      </c>
      <c r="P416" s="540">
        <v>0</v>
      </c>
      <c r="Q416" s="538">
        <v>0</v>
      </c>
      <c r="R416" s="540">
        <v>0</v>
      </c>
      <c r="S416" s="540">
        <v>0</v>
      </c>
      <c r="T416" s="540">
        <v>0</v>
      </c>
      <c r="U416" s="540">
        <v>-3.9348872348760424E-4</v>
      </c>
      <c r="V416" s="535"/>
    </row>
    <row r="417" spans="1:22">
      <c r="A417" s="530"/>
      <c r="B417" s="508" t="s">
        <v>761</v>
      </c>
      <c r="C417" s="527">
        <v>0</v>
      </c>
      <c r="D417" s="528">
        <v>0</v>
      </c>
      <c r="E417" s="528">
        <v>0</v>
      </c>
      <c r="F417" s="528">
        <v>0</v>
      </c>
      <c r="G417" s="528">
        <v>0</v>
      </c>
      <c r="H417" s="528">
        <v>0</v>
      </c>
      <c r="I417" s="528">
        <v>0</v>
      </c>
      <c r="J417" s="529">
        <v>0</v>
      </c>
      <c r="K417" s="529">
        <v>0</v>
      </c>
      <c r="L417" s="528">
        <v>0</v>
      </c>
      <c r="M417" s="528">
        <v>0</v>
      </c>
      <c r="N417" s="528">
        <v>0</v>
      </c>
      <c r="O417" s="529">
        <v>0</v>
      </c>
      <c r="P417" s="529">
        <v>0</v>
      </c>
      <c r="Q417" s="528">
        <v>0</v>
      </c>
      <c r="R417" s="529">
        <v>0</v>
      </c>
      <c r="S417" s="529">
        <v>0</v>
      </c>
      <c r="T417" s="529">
        <v>0</v>
      </c>
      <c r="U417" s="529">
        <v>0</v>
      </c>
      <c r="V417" s="535"/>
    </row>
    <row r="418" spans="1:22">
      <c r="A418" s="530"/>
      <c r="B418" s="531" t="s">
        <v>762</v>
      </c>
      <c r="C418" s="532">
        <v>0</v>
      </c>
      <c r="D418" s="533">
        <v>0</v>
      </c>
      <c r="E418" s="533">
        <v>0</v>
      </c>
      <c r="F418" s="533">
        <v>0</v>
      </c>
      <c r="G418" s="533">
        <v>0</v>
      </c>
      <c r="H418" s="533">
        <v>0</v>
      </c>
      <c r="I418" s="533">
        <v>0</v>
      </c>
      <c r="J418" s="534">
        <v>0</v>
      </c>
      <c r="K418" s="534">
        <v>0</v>
      </c>
      <c r="L418" s="533">
        <v>0</v>
      </c>
      <c r="M418" s="533">
        <v>0</v>
      </c>
      <c r="N418" s="533">
        <v>0</v>
      </c>
      <c r="O418" s="534">
        <v>0</v>
      </c>
      <c r="P418" s="534">
        <v>0</v>
      </c>
      <c r="Q418" s="533">
        <v>0</v>
      </c>
      <c r="R418" s="534">
        <v>0</v>
      </c>
      <c r="S418" s="534">
        <v>0</v>
      </c>
      <c r="T418" s="534">
        <v>0</v>
      </c>
      <c r="U418" s="534">
        <v>0</v>
      </c>
      <c r="V418" s="535"/>
    </row>
    <row r="419" spans="1:22" ht="15.75" thickBot="1">
      <c r="A419" s="530"/>
      <c r="B419" s="542" t="s">
        <v>763</v>
      </c>
      <c r="C419" s="543">
        <v>0</v>
      </c>
      <c r="D419" s="544">
        <v>0</v>
      </c>
      <c r="E419" s="544">
        <v>0</v>
      </c>
      <c r="F419" s="544">
        <v>0</v>
      </c>
      <c r="G419" s="544">
        <v>0</v>
      </c>
      <c r="H419" s="544">
        <v>0</v>
      </c>
      <c r="I419" s="544">
        <v>0</v>
      </c>
      <c r="J419" s="545">
        <v>0</v>
      </c>
      <c r="K419" s="545">
        <v>0</v>
      </c>
      <c r="L419" s="544">
        <v>0</v>
      </c>
      <c r="M419" s="544">
        <v>0</v>
      </c>
      <c r="N419" s="544">
        <v>0</v>
      </c>
      <c r="O419" s="545">
        <v>0</v>
      </c>
      <c r="P419" s="545">
        <v>0</v>
      </c>
      <c r="Q419" s="544">
        <v>0</v>
      </c>
      <c r="R419" s="545">
        <v>0</v>
      </c>
      <c r="S419" s="545">
        <v>0</v>
      </c>
      <c r="T419" s="545">
        <v>0</v>
      </c>
      <c r="U419" s="545">
        <v>0</v>
      </c>
      <c r="V419" s="535"/>
    </row>
    <row r="420" spans="1:22" ht="15.75" thickTop="1">
      <c r="A420" s="530"/>
      <c r="B420" s="531" t="s">
        <v>764</v>
      </c>
      <c r="C420" s="532">
        <v>0.52204366601965124</v>
      </c>
      <c r="D420" s="533">
        <v>0</v>
      </c>
      <c r="E420" s="533">
        <v>0.59485008818342155</v>
      </c>
      <c r="F420" s="533">
        <v>0.36572362809212394</v>
      </c>
      <c r="G420" s="533">
        <v>0.79237386654266451</v>
      </c>
      <c r="H420" s="533">
        <v>0.24473481936971561</v>
      </c>
      <c r="I420" s="533">
        <v>0</v>
      </c>
      <c r="J420" s="534">
        <v>0.52959451434455607</v>
      </c>
      <c r="K420" s="534">
        <v>0</v>
      </c>
      <c r="L420" s="533">
        <v>0</v>
      </c>
      <c r="M420" s="533">
        <v>0</v>
      </c>
      <c r="N420" s="533">
        <v>0</v>
      </c>
      <c r="O420" s="534">
        <v>0</v>
      </c>
      <c r="P420" s="534">
        <v>0</v>
      </c>
      <c r="Q420" s="533">
        <v>0</v>
      </c>
      <c r="R420" s="534">
        <v>0</v>
      </c>
      <c r="S420" s="534">
        <v>0</v>
      </c>
      <c r="T420" s="534">
        <v>0</v>
      </c>
      <c r="U420" s="534">
        <v>0.52959451434455607</v>
      </c>
      <c r="V420" s="535"/>
    </row>
    <row r="421" spans="1:22">
      <c r="A421" s="530"/>
      <c r="B421" s="531" t="s">
        <v>765</v>
      </c>
      <c r="C421" s="532">
        <v>0.6469288588565788</v>
      </c>
      <c r="D421" s="533">
        <v>0</v>
      </c>
      <c r="E421" s="533">
        <v>0.56645856226829772</v>
      </c>
      <c r="F421" s="533">
        <v>0.36617142857142859</v>
      </c>
      <c r="G421" s="533">
        <v>0.73943488943488944</v>
      </c>
      <c r="H421" s="533">
        <v>0.25061779242174631</v>
      </c>
      <c r="I421" s="533">
        <v>0</v>
      </c>
      <c r="J421" s="534">
        <v>0.62500129023125373</v>
      </c>
      <c r="K421" s="534">
        <v>0</v>
      </c>
      <c r="L421" s="533">
        <v>0</v>
      </c>
      <c r="M421" s="533">
        <v>0</v>
      </c>
      <c r="N421" s="533">
        <v>0</v>
      </c>
      <c r="O421" s="534">
        <v>0</v>
      </c>
      <c r="P421" s="534">
        <v>0</v>
      </c>
      <c r="Q421" s="533">
        <v>0</v>
      </c>
      <c r="R421" s="534">
        <v>0</v>
      </c>
      <c r="S421" s="534">
        <v>0</v>
      </c>
      <c r="T421" s="534">
        <v>0</v>
      </c>
      <c r="U421" s="534">
        <v>0.62500129023125373</v>
      </c>
      <c r="V421" s="535"/>
    </row>
    <row r="422" spans="1:22">
      <c r="A422" s="530"/>
      <c r="B422" s="536" t="s">
        <v>766</v>
      </c>
      <c r="C422" s="537">
        <v>12.488519283692757</v>
      </c>
      <c r="D422" s="538">
        <v>0</v>
      </c>
      <c r="E422" s="538">
        <v>-2.8391525915123839</v>
      </c>
      <c r="F422" s="538">
        <v>4.4780047930464972E-2</v>
      </c>
      <c r="G422" s="538">
        <v>-5.2938977107775065</v>
      </c>
      <c r="H422" s="538">
        <v>0.58829730520306989</v>
      </c>
      <c r="I422" s="538">
        <v>0</v>
      </c>
      <c r="J422" s="540">
        <v>9.5406775886697659</v>
      </c>
      <c r="K422" s="540">
        <v>0</v>
      </c>
      <c r="L422" s="538">
        <v>0</v>
      </c>
      <c r="M422" s="538">
        <v>0</v>
      </c>
      <c r="N422" s="538">
        <v>0</v>
      </c>
      <c r="O422" s="540">
        <v>0</v>
      </c>
      <c r="P422" s="540">
        <v>0</v>
      </c>
      <c r="Q422" s="538">
        <v>0</v>
      </c>
      <c r="R422" s="540">
        <v>0</v>
      </c>
      <c r="S422" s="540">
        <v>0</v>
      </c>
      <c r="T422" s="540">
        <v>0</v>
      </c>
      <c r="U422" s="540">
        <v>9.5406775886697659</v>
      </c>
      <c r="V422" s="535"/>
    </row>
    <row r="423" spans="1:22">
      <c r="A423" s="530"/>
      <c r="B423" s="508" t="s">
        <v>767</v>
      </c>
      <c r="C423" s="527">
        <v>0.26139800478490499</v>
      </c>
      <c r="D423" s="528">
        <v>0</v>
      </c>
      <c r="E423" s="528">
        <v>0.139564961787184</v>
      </c>
      <c r="F423" s="528">
        <v>9.7028717657094116E-2</v>
      </c>
      <c r="G423" s="528">
        <v>0</v>
      </c>
      <c r="H423" s="528">
        <v>0.10407378939277478</v>
      </c>
      <c r="I423" s="528">
        <v>0</v>
      </c>
      <c r="J423" s="529">
        <v>0.22661677934220112</v>
      </c>
      <c r="K423" s="529">
        <v>0</v>
      </c>
      <c r="L423" s="528">
        <v>0</v>
      </c>
      <c r="M423" s="528">
        <v>0</v>
      </c>
      <c r="N423" s="528">
        <v>0</v>
      </c>
      <c r="O423" s="529">
        <v>0</v>
      </c>
      <c r="P423" s="529">
        <v>0</v>
      </c>
      <c r="Q423" s="528">
        <v>0</v>
      </c>
      <c r="R423" s="529">
        <v>0</v>
      </c>
      <c r="S423" s="529">
        <v>0</v>
      </c>
      <c r="T423" s="529">
        <v>0</v>
      </c>
      <c r="U423" s="529">
        <v>0.22661677934220112</v>
      </c>
      <c r="V423" s="535"/>
    </row>
    <row r="424" spans="1:22">
      <c r="A424" s="530"/>
      <c r="B424" s="531" t="s">
        <v>768</v>
      </c>
      <c r="C424" s="532">
        <v>0.11366638827727583</v>
      </c>
      <c r="D424" s="533">
        <v>0</v>
      </c>
      <c r="E424" s="533">
        <v>9.5470408520607161E-2</v>
      </c>
      <c r="F424" s="533">
        <v>9.5542857142857138E-2</v>
      </c>
      <c r="G424" s="533">
        <v>5.5773955773955775E-2</v>
      </c>
      <c r="H424" s="533">
        <v>3.7067545304777594E-3</v>
      </c>
      <c r="I424" s="533">
        <v>0</v>
      </c>
      <c r="J424" s="534">
        <v>0.10638878280320803</v>
      </c>
      <c r="K424" s="534">
        <v>0</v>
      </c>
      <c r="L424" s="533">
        <v>0</v>
      </c>
      <c r="M424" s="533">
        <v>0</v>
      </c>
      <c r="N424" s="533">
        <v>0</v>
      </c>
      <c r="O424" s="534">
        <v>0</v>
      </c>
      <c r="P424" s="534">
        <v>0</v>
      </c>
      <c r="Q424" s="533">
        <v>0</v>
      </c>
      <c r="R424" s="534">
        <v>0</v>
      </c>
      <c r="S424" s="534">
        <v>0</v>
      </c>
      <c r="T424" s="534">
        <v>0</v>
      </c>
      <c r="U424" s="534">
        <v>0.10638878280320803</v>
      </c>
      <c r="V424" s="535"/>
    </row>
    <row r="425" spans="1:22">
      <c r="A425" s="530"/>
      <c r="B425" s="536" t="s">
        <v>769</v>
      </c>
      <c r="C425" s="537">
        <v>-14.773161650762917</v>
      </c>
      <c r="D425" s="538">
        <v>0</v>
      </c>
      <c r="E425" s="538">
        <v>-4.4094553266576835</v>
      </c>
      <c r="F425" s="538">
        <v>-0.1485860514236978</v>
      </c>
      <c r="G425" s="538">
        <v>0</v>
      </c>
      <c r="H425" s="538">
        <v>-10.036703486229701</v>
      </c>
      <c r="I425" s="538">
        <v>0</v>
      </c>
      <c r="J425" s="540">
        <v>-12.022799653899309</v>
      </c>
      <c r="K425" s="540">
        <v>0</v>
      </c>
      <c r="L425" s="538">
        <v>0</v>
      </c>
      <c r="M425" s="538">
        <v>0</v>
      </c>
      <c r="N425" s="538">
        <v>0</v>
      </c>
      <c r="O425" s="540">
        <v>0</v>
      </c>
      <c r="P425" s="540">
        <v>0</v>
      </c>
      <c r="Q425" s="538">
        <v>0</v>
      </c>
      <c r="R425" s="540">
        <v>0</v>
      </c>
      <c r="S425" s="540">
        <v>0</v>
      </c>
      <c r="T425" s="540">
        <v>0</v>
      </c>
      <c r="U425" s="540">
        <v>-12.022799653899309</v>
      </c>
      <c r="V425" s="535"/>
    </row>
    <row r="426" spans="1:22">
      <c r="A426" s="530"/>
      <c r="B426" s="508" t="s">
        <v>770</v>
      </c>
      <c r="C426" s="527">
        <v>0.19196798025850526</v>
      </c>
      <c r="D426" s="528">
        <v>0</v>
      </c>
      <c r="E426" s="528">
        <v>0.26558495002939447</v>
      </c>
      <c r="F426" s="528">
        <v>0.53724765425078191</v>
      </c>
      <c r="G426" s="528">
        <v>0.20762613345733549</v>
      </c>
      <c r="H426" s="528">
        <v>0.65119139123750958</v>
      </c>
      <c r="I426" s="528">
        <v>0</v>
      </c>
      <c r="J426" s="529">
        <v>0.22466555697598564</v>
      </c>
      <c r="K426" s="529">
        <v>0</v>
      </c>
      <c r="L426" s="528">
        <v>0</v>
      </c>
      <c r="M426" s="528">
        <v>0</v>
      </c>
      <c r="N426" s="528">
        <v>0</v>
      </c>
      <c r="O426" s="529">
        <v>0</v>
      </c>
      <c r="P426" s="529">
        <v>0</v>
      </c>
      <c r="Q426" s="528">
        <v>0</v>
      </c>
      <c r="R426" s="529">
        <v>0</v>
      </c>
      <c r="S426" s="529">
        <v>0</v>
      </c>
      <c r="T426" s="529">
        <v>0</v>
      </c>
      <c r="U426" s="529">
        <v>0.22466555697598564</v>
      </c>
      <c r="V426" s="535"/>
    </row>
    <row r="427" spans="1:22">
      <c r="A427" s="530"/>
      <c r="B427" s="531" t="s">
        <v>771</v>
      </c>
      <c r="C427" s="532">
        <v>0.19391466099764634</v>
      </c>
      <c r="D427" s="533">
        <v>0</v>
      </c>
      <c r="E427" s="533">
        <v>0.33807102921109516</v>
      </c>
      <c r="F427" s="533">
        <v>0.53828571428571426</v>
      </c>
      <c r="G427" s="533">
        <v>0.20128992628992629</v>
      </c>
      <c r="H427" s="533">
        <v>0.74567545304777594</v>
      </c>
      <c r="I427" s="533">
        <v>0</v>
      </c>
      <c r="J427" s="534">
        <v>0.23310276286434287</v>
      </c>
      <c r="K427" s="534">
        <v>0</v>
      </c>
      <c r="L427" s="533">
        <v>0</v>
      </c>
      <c r="M427" s="533">
        <v>0</v>
      </c>
      <c r="N427" s="533">
        <v>0</v>
      </c>
      <c r="O427" s="534">
        <v>0</v>
      </c>
      <c r="P427" s="534">
        <v>0</v>
      </c>
      <c r="Q427" s="533">
        <v>0</v>
      </c>
      <c r="R427" s="534">
        <v>0</v>
      </c>
      <c r="S427" s="534">
        <v>0</v>
      </c>
      <c r="T427" s="534">
        <v>0</v>
      </c>
      <c r="U427" s="534">
        <v>0.23310276286434287</v>
      </c>
      <c r="V427" s="535"/>
    </row>
    <row r="428" spans="1:22">
      <c r="A428" s="530"/>
      <c r="B428" s="536" t="s">
        <v>772</v>
      </c>
      <c r="C428" s="537">
        <v>0.19466807391410879</v>
      </c>
      <c r="D428" s="538">
        <v>0</v>
      </c>
      <c r="E428" s="538">
        <v>7.2486079181700696</v>
      </c>
      <c r="F428" s="538">
        <v>0.10380600349323421</v>
      </c>
      <c r="G428" s="538">
        <v>-0.6336207167409208</v>
      </c>
      <c r="H428" s="538">
        <v>9.4484061810266358</v>
      </c>
      <c r="I428" s="538">
        <v>0</v>
      </c>
      <c r="J428" s="540">
        <v>0.84372058883572243</v>
      </c>
      <c r="K428" s="540">
        <v>0</v>
      </c>
      <c r="L428" s="538">
        <v>0</v>
      </c>
      <c r="M428" s="538">
        <v>0</v>
      </c>
      <c r="N428" s="538">
        <v>0</v>
      </c>
      <c r="O428" s="540">
        <v>0</v>
      </c>
      <c r="P428" s="540">
        <v>0</v>
      </c>
      <c r="Q428" s="538">
        <v>0</v>
      </c>
      <c r="R428" s="540">
        <v>0</v>
      </c>
      <c r="S428" s="540">
        <v>0</v>
      </c>
      <c r="T428" s="540">
        <v>0</v>
      </c>
      <c r="U428" s="540">
        <v>0.84372058883572243</v>
      </c>
      <c r="V428" s="535"/>
    </row>
    <row r="429" spans="1:22">
      <c r="A429" s="530"/>
      <c r="B429" s="508" t="s">
        <v>773</v>
      </c>
      <c r="C429" s="527">
        <v>2.4590348936938563E-2</v>
      </c>
      <c r="D429" s="528">
        <v>0</v>
      </c>
      <c r="E429" s="528">
        <v>0</v>
      </c>
      <c r="F429" s="528">
        <v>0</v>
      </c>
      <c r="G429" s="528">
        <v>0</v>
      </c>
      <c r="H429" s="528">
        <v>0</v>
      </c>
      <c r="I429" s="528">
        <v>0</v>
      </c>
      <c r="J429" s="529">
        <v>1.9123149337257232E-2</v>
      </c>
      <c r="K429" s="529">
        <v>0</v>
      </c>
      <c r="L429" s="528">
        <v>0</v>
      </c>
      <c r="M429" s="528">
        <v>0</v>
      </c>
      <c r="N429" s="528">
        <v>0</v>
      </c>
      <c r="O429" s="529">
        <v>0</v>
      </c>
      <c r="P429" s="529">
        <v>0</v>
      </c>
      <c r="Q429" s="528">
        <v>0</v>
      </c>
      <c r="R429" s="529">
        <v>0</v>
      </c>
      <c r="S429" s="529">
        <v>0</v>
      </c>
      <c r="T429" s="529">
        <v>0</v>
      </c>
      <c r="U429" s="529">
        <v>1.9123149337257232E-2</v>
      </c>
      <c r="V429" s="535"/>
    </row>
    <row r="430" spans="1:22">
      <c r="A430" s="530"/>
      <c r="B430" s="531" t="s">
        <v>774</v>
      </c>
      <c r="C430" s="532">
        <v>4.5490091868498977E-2</v>
      </c>
      <c r="D430" s="533">
        <v>0</v>
      </c>
      <c r="E430" s="533">
        <v>0</v>
      </c>
      <c r="F430" s="533">
        <v>0</v>
      </c>
      <c r="G430" s="533">
        <v>3.5012285012285013E-3</v>
      </c>
      <c r="H430" s="533">
        <v>0</v>
      </c>
      <c r="I430" s="533">
        <v>0</v>
      </c>
      <c r="J430" s="534">
        <v>3.5507164101195421E-2</v>
      </c>
      <c r="K430" s="534">
        <v>0</v>
      </c>
      <c r="L430" s="533">
        <v>0</v>
      </c>
      <c r="M430" s="533">
        <v>0</v>
      </c>
      <c r="N430" s="533">
        <v>0</v>
      </c>
      <c r="O430" s="534">
        <v>0</v>
      </c>
      <c r="P430" s="534">
        <v>0</v>
      </c>
      <c r="Q430" s="533">
        <v>0</v>
      </c>
      <c r="R430" s="534">
        <v>0</v>
      </c>
      <c r="S430" s="534">
        <v>0</v>
      </c>
      <c r="T430" s="534">
        <v>0</v>
      </c>
      <c r="U430" s="534">
        <v>3.5507164101195421E-2</v>
      </c>
      <c r="V430" s="535"/>
    </row>
    <row r="431" spans="1:22">
      <c r="A431" s="530"/>
      <c r="B431" s="536" t="s">
        <v>775</v>
      </c>
      <c r="C431" s="537">
        <v>2.0899742931560414</v>
      </c>
      <c r="D431" s="538">
        <v>0</v>
      </c>
      <c r="E431" s="538">
        <v>0</v>
      </c>
      <c r="F431" s="538">
        <v>0</v>
      </c>
      <c r="G431" s="538">
        <v>0</v>
      </c>
      <c r="H431" s="538">
        <v>0</v>
      </c>
      <c r="I431" s="538">
        <v>0</v>
      </c>
      <c r="J431" s="540">
        <v>1.6384014763938188</v>
      </c>
      <c r="K431" s="540">
        <v>0</v>
      </c>
      <c r="L431" s="538">
        <v>0</v>
      </c>
      <c r="M431" s="538">
        <v>0</v>
      </c>
      <c r="N431" s="538">
        <v>0</v>
      </c>
      <c r="O431" s="540">
        <v>0</v>
      </c>
      <c r="P431" s="540">
        <v>0</v>
      </c>
      <c r="Q431" s="538">
        <v>0</v>
      </c>
      <c r="R431" s="540">
        <v>0</v>
      </c>
      <c r="S431" s="540">
        <v>0</v>
      </c>
      <c r="T431" s="540">
        <v>0</v>
      </c>
      <c r="U431" s="540">
        <v>1.6384014763938188</v>
      </c>
      <c r="V431" s="535"/>
    </row>
    <row r="432" spans="1:22">
      <c r="A432" s="530"/>
      <c r="B432" s="508" t="s">
        <v>776</v>
      </c>
      <c r="C432" s="527">
        <v>0</v>
      </c>
      <c r="D432" s="528">
        <v>0</v>
      </c>
      <c r="E432" s="528">
        <v>0</v>
      </c>
      <c r="F432" s="528">
        <v>0</v>
      </c>
      <c r="G432" s="528">
        <v>0</v>
      </c>
      <c r="H432" s="528">
        <v>0</v>
      </c>
      <c r="I432" s="528">
        <v>0</v>
      </c>
      <c r="J432" s="529">
        <v>0</v>
      </c>
      <c r="K432" s="529">
        <v>0</v>
      </c>
      <c r="L432" s="528">
        <v>0</v>
      </c>
      <c r="M432" s="528">
        <v>0</v>
      </c>
      <c r="N432" s="528">
        <v>0</v>
      </c>
      <c r="O432" s="529">
        <v>0</v>
      </c>
      <c r="P432" s="529">
        <v>0</v>
      </c>
      <c r="Q432" s="528">
        <v>0</v>
      </c>
      <c r="R432" s="529">
        <v>0</v>
      </c>
      <c r="S432" s="529">
        <v>0</v>
      </c>
      <c r="T432" s="529">
        <v>0</v>
      </c>
      <c r="U432" s="529">
        <v>0</v>
      </c>
      <c r="V432" s="535"/>
    </row>
    <row r="433" spans="1:22">
      <c r="A433" s="530"/>
      <c r="B433" s="531" t="s">
        <v>777</v>
      </c>
      <c r="C433" s="532">
        <v>0</v>
      </c>
      <c r="D433" s="533">
        <v>0</v>
      </c>
      <c r="E433" s="533">
        <v>0</v>
      </c>
      <c r="F433" s="533">
        <v>0</v>
      </c>
      <c r="G433" s="533">
        <v>0</v>
      </c>
      <c r="H433" s="533">
        <v>0</v>
      </c>
      <c r="I433" s="533">
        <v>0</v>
      </c>
      <c r="J433" s="534">
        <v>0</v>
      </c>
      <c r="K433" s="534">
        <v>0</v>
      </c>
      <c r="L433" s="533">
        <v>0</v>
      </c>
      <c r="M433" s="533">
        <v>0</v>
      </c>
      <c r="N433" s="533">
        <v>0</v>
      </c>
      <c r="O433" s="534">
        <v>0</v>
      </c>
      <c r="P433" s="534">
        <v>0</v>
      </c>
      <c r="Q433" s="533">
        <v>0</v>
      </c>
      <c r="R433" s="534">
        <v>0</v>
      </c>
      <c r="S433" s="534">
        <v>0</v>
      </c>
      <c r="T433" s="534">
        <v>0</v>
      </c>
      <c r="U433" s="534">
        <v>0</v>
      </c>
      <c r="V433" s="535"/>
    </row>
    <row r="434" spans="1:22">
      <c r="A434" s="530"/>
      <c r="B434" s="536" t="s">
        <v>778</v>
      </c>
      <c r="C434" s="537">
        <v>0</v>
      </c>
      <c r="D434" s="538">
        <v>0</v>
      </c>
      <c r="E434" s="538">
        <v>0</v>
      </c>
      <c r="F434" s="538">
        <v>0</v>
      </c>
      <c r="G434" s="538">
        <v>0</v>
      </c>
      <c r="H434" s="538">
        <v>0</v>
      </c>
      <c r="I434" s="538">
        <v>0</v>
      </c>
      <c r="J434" s="540">
        <v>0</v>
      </c>
      <c r="K434" s="540">
        <v>0</v>
      </c>
      <c r="L434" s="538">
        <v>0</v>
      </c>
      <c r="M434" s="538">
        <v>0</v>
      </c>
      <c r="N434" s="538">
        <v>0</v>
      </c>
      <c r="O434" s="540">
        <v>0</v>
      </c>
      <c r="P434" s="540">
        <v>0</v>
      </c>
      <c r="Q434" s="538">
        <v>0</v>
      </c>
      <c r="R434" s="540">
        <v>0</v>
      </c>
      <c r="S434" s="540">
        <v>0</v>
      </c>
      <c r="T434" s="540">
        <v>0</v>
      </c>
      <c r="U434" s="540">
        <v>0</v>
      </c>
      <c r="V434" s="535"/>
    </row>
    <row r="435" spans="1:22">
      <c r="A435" s="530"/>
      <c r="B435" s="508" t="s">
        <v>779</v>
      </c>
      <c r="C435" s="527">
        <v>0</v>
      </c>
      <c r="D435" s="528">
        <v>0</v>
      </c>
      <c r="E435" s="528">
        <v>0</v>
      </c>
      <c r="F435" s="528">
        <v>0</v>
      </c>
      <c r="G435" s="528">
        <v>0</v>
      </c>
      <c r="H435" s="528">
        <v>0</v>
      </c>
      <c r="I435" s="528">
        <v>0</v>
      </c>
      <c r="J435" s="529">
        <v>0</v>
      </c>
      <c r="K435" s="529">
        <v>0</v>
      </c>
      <c r="L435" s="528">
        <v>0</v>
      </c>
      <c r="M435" s="528">
        <v>0</v>
      </c>
      <c r="N435" s="528">
        <v>0</v>
      </c>
      <c r="O435" s="529">
        <v>0</v>
      </c>
      <c r="P435" s="529">
        <v>0</v>
      </c>
      <c r="Q435" s="528">
        <v>0</v>
      </c>
      <c r="R435" s="529">
        <v>0</v>
      </c>
      <c r="S435" s="529">
        <v>0</v>
      </c>
      <c r="T435" s="529">
        <v>0</v>
      </c>
      <c r="U435" s="529">
        <v>0</v>
      </c>
      <c r="V435" s="535"/>
    </row>
    <row r="436" spans="1:22">
      <c r="A436" s="530"/>
      <c r="B436" s="531" t="s">
        <v>780</v>
      </c>
      <c r="C436" s="532">
        <v>0</v>
      </c>
      <c r="D436" s="533">
        <v>0</v>
      </c>
      <c r="E436" s="533">
        <v>0</v>
      </c>
      <c r="F436" s="533">
        <v>0</v>
      </c>
      <c r="G436" s="533">
        <v>0</v>
      </c>
      <c r="H436" s="533">
        <v>0</v>
      </c>
      <c r="I436" s="533">
        <v>0</v>
      </c>
      <c r="J436" s="534">
        <v>0</v>
      </c>
      <c r="K436" s="534">
        <v>0</v>
      </c>
      <c r="L436" s="533">
        <v>0</v>
      </c>
      <c r="M436" s="533">
        <v>0</v>
      </c>
      <c r="N436" s="533">
        <v>0</v>
      </c>
      <c r="O436" s="534">
        <v>0</v>
      </c>
      <c r="P436" s="534">
        <v>0</v>
      </c>
      <c r="Q436" s="533">
        <v>0</v>
      </c>
      <c r="R436" s="534">
        <v>0</v>
      </c>
      <c r="S436" s="534">
        <v>0</v>
      </c>
      <c r="T436" s="534">
        <v>0</v>
      </c>
      <c r="U436" s="534">
        <v>0</v>
      </c>
      <c r="V436" s="535"/>
    </row>
    <row r="437" spans="1:22" ht="15.75" thickBot="1">
      <c r="A437" s="546"/>
      <c r="B437" s="547" t="s">
        <v>781</v>
      </c>
      <c r="C437" s="548">
        <v>0</v>
      </c>
      <c r="D437" s="549">
        <v>0</v>
      </c>
      <c r="E437" s="549">
        <v>0</v>
      </c>
      <c r="F437" s="549">
        <v>0</v>
      </c>
      <c r="G437" s="549">
        <v>0</v>
      </c>
      <c r="H437" s="549">
        <v>0</v>
      </c>
      <c r="I437" s="549">
        <v>0</v>
      </c>
      <c r="J437" s="550">
        <v>0</v>
      </c>
      <c r="K437" s="550">
        <v>0</v>
      </c>
      <c r="L437" s="549">
        <v>0</v>
      </c>
      <c r="M437" s="549">
        <v>0</v>
      </c>
      <c r="N437" s="549">
        <v>0</v>
      </c>
      <c r="O437" s="550">
        <v>0</v>
      </c>
      <c r="P437" s="550">
        <v>0</v>
      </c>
      <c r="Q437" s="549">
        <v>0</v>
      </c>
      <c r="R437" s="550">
        <v>0</v>
      </c>
      <c r="S437" s="550">
        <v>0</v>
      </c>
      <c r="T437" s="550">
        <v>0</v>
      </c>
      <c r="U437" s="550">
        <v>0</v>
      </c>
      <c r="V437" s="535"/>
    </row>
    <row r="438" spans="1:22">
      <c r="A438" s="526" t="s">
        <v>472</v>
      </c>
      <c r="B438" s="508" t="s">
        <v>746</v>
      </c>
      <c r="C438" s="527">
        <v>0.83925542379576634</v>
      </c>
      <c r="D438" s="528">
        <v>0.75861404592197346</v>
      </c>
      <c r="E438" s="528">
        <v>0.69138411108629139</v>
      </c>
      <c r="F438" s="528">
        <v>0</v>
      </c>
      <c r="G438" s="528">
        <v>0.80365580020796468</v>
      </c>
      <c r="H438" s="528">
        <v>0</v>
      </c>
      <c r="I438" s="528">
        <v>0</v>
      </c>
      <c r="J438" s="529">
        <v>0.77179566703933766</v>
      </c>
      <c r="K438" s="529">
        <v>0</v>
      </c>
      <c r="L438" s="528">
        <v>0.41945332011164976</v>
      </c>
      <c r="M438" s="528">
        <v>0.35478563286858772</v>
      </c>
      <c r="N438" s="528">
        <v>0.30996956011380139</v>
      </c>
      <c r="O438" s="529">
        <v>0.38738337525657141</v>
      </c>
      <c r="P438" s="529">
        <v>0</v>
      </c>
      <c r="Q438" s="528">
        <v>0</v>
      </c>
      <c r="R438" s="529">
        <v>0</v>
      </c>
      <c r="S438" s="529">
        <v>0</v>
      </c>
      <c r="T438" s="529">
        <v>0</v>
      </c>
      <c r="U438" s="529">
        <v>0.63351049115988511</v>
      </c>
      <c r="V438" s="535"/>
    </row>
    <row r="439" spans="1:22">
      <c r="A439" s="530"/>
      <c r="B439" s="531" t="s">
        <v>747</v>
      </c>
      <c r="C439" s="532">
        <v>0.81922754377625517</v>
      </c>
      <c r="D439" s="533">
        <v>0.73556642497032421</v>
      </c>
      <c r="E439" s="533">
        <v>0.6809512875016196</v>
      </c>
      <c r="F439" s="533">
        <v>0</v>
      </c>
      <c r="G439" s="533">
        <v>0.74002154215019866</v>
      </c>
      <c r="H439" s="533">
        <v>0</v>
      </c>
      <c r="I439" s="533">
        <v>0</v>
      </c>
      <c r="J439" s="534">
        <v>0.7507347739682404</v>
      </c>
      <c r="K439" s="534">
        <v>0</v>
      </c>
      <c r="L439" s="533">
        <v>0.40752880829144561</v>
      </c>
      <c r="M439" s="533">
        <v>0.3410521606680656</v>
      </c>
      <c r="N439" s="533">
        <v>0.2943698477968546</v>
      </c>
      <c r="O439" s="534">
        <v>0.37446927142340247</v>
      </c>
      <c r="P439" s="534">
        <v>0</v>
      </c>
      <c r="Q439" s="533">
        <v>0</v>
      </c>
      <c r="R439" s="534">
        <v>0</v>
      </c>
      <c r="S439" s="534">
        <v>0</v>
      </c>
      <c r="T439" s="534">
        <v>0</v>
      </c>
      <c r="U439" s="534">
        <v>0.61390857909755081</v>
      </c>
      <c r="V439" s="535"/>
    </row>
    <row r="440" spans="1:22">
      <c r="A440" s="530"/>
      <c r="B440" s="536" t="s">
        <v>748</v>
      </c>
      <c r="C440" s="537">
        <v>-2.0027880019511168</v>
      </c>
      <c r="D440" s="538">
        <v>-2.304762095164925</v>
      </c>
      <c r="E440" s="538">
        <v>-1.0432823584671791</v>
      </c>
      <c r="F440" s="538">
        <v>0</v>
      </c>
      <c r="G440" s="538">
        <v>-6.3634258057766013</v>
      </c>
      <c r="H440" s="538">
        <v>0</v>
      </c>
      <c r="I440" s="538">
        <v>0</v>
      </c>
      <c r="J440" s="540">
        <v>-2.1060893071097264</v>
      </c>
      <c r="K440" s="540">
        <v>0</v>
      </c>
      <c r="L440" s="538">
        <v>-1.1924511820204153</v>
      </c>
      <c r="M440" s="538">
        <v>-1.3733472200522123</v>
      </c>
      <c r="N440" s="538">
        <v>-1.559971231694679</v>
      </c>
      <c r="O440" s="540">
        <v>-1.2914103833168933</v>
      </c>
      <c r="P440" s="540">
        <v>0</v>
      </c>
      <c r="Q440" s="538">
        <v>0</v>
      </c>
      <c r="R440" s="540">
        <v>0</v>
      </c>
      <c r="S440" s="540">
        <v>0</v>
      </c>
      <c r="T440" s="540">
        <v>0</v>
      </c>
      <c r="U440" s="540">
        <v>-1.9601912062334303</v>
      </c>
      <c r="V440" s="535"/>
    </row>
    <row r="441" spans="1:22">
      <c r="A441" s="530"/>
      <c r="B441" s="508" t="s">
        <v>749</v>
      </c>
      <c r="C441" s="527">
        <v>1.8083837437164522E-2</v>
      </c>
      <c r="D441" s="528">
        <v>3.5022019954347762E-2</v>
      </c>
      <c r="E441" s="528">
        <v>2.2145569587374479E-2</v>
      </c>
      <c r="F441" s="528">
        <v>0</v>
      </c>
      <c r="G441" s="528">
        <v>4.3952301901478252E-2</v>
      </c>
      <c r="H441" s="528">
        <v>0</v>
      </c>
      <c r="I441" s="528">
        <v>0</v>
      </c>
      <c r="J441" s="529">
        <v>2.6238769928361844E-2</v>
      </c>
      <c r="K441" s="529">
        <v>0</v>
      </c>
      <c r="L441" s="528">
        <v>0.31927152196268549</v>
      </c>
      <c r="M441" s="528">
        <v>0.36921321238291571</v>
      </c>
      <c r="N441" s="528">
        <v>0.41294789407715415</v>
      </c>
      <c r="O441" s="529">
        <v>0.34431493170348959</v>
      </c>
      <c r="P441" s="529">
        <v>0</v>
      </c>
      <c r="Q441" s="528">
        <v>0</v>
      </c>
      <c r="R441" s="529">
        <v>0</v>
      </c>
      <c r="S441" s="529">
        <v>0</v>
      </c>
      <c r="T441" s="529">
        <v>0</v>
      </c>
      <c r="U441" s="529">
        <v>0.14066075620290858</v>
      </c>
      <c r="V441" s="535"/>
    </row>
    <row r="442" spans="1:22">
      <c r="A442" s="530"/>
      <c r="B442" s="531" t="s">
        <v>750</v>
      </c>
      <c r="C442" s="532">
        <v>1.8492110419347733E-2</v>
      </c>
      <c r="D442" s="533">
        <v>3.7149101900591869E-2</v>
      </c>
      <c r="E442" s="533">
        <v>2.3778339082501959E-2</v>
      </c>
      <c r="F442" s="533">
        <v>0</v>
      </c>
      <c r="G442" s="533">
        <v>7.8574080046735509E-2</v>
      </c>
      <c r="H442" s="533">
        <v>0</v>
      </c>
      <c r="I442" s="533">
        <v>0</v>
      </c>
      <c r="J442" s="534">
        <v>2.9378078364817352E-2</v>
      </c>
      <c r="K442" s="534">
        <v>0</v>
      </c>
      <c r="L442" s="533">
        <v>0.31077980742784772</v>
      </c>
      <c r="M442" s="533">
        <v>0.35682445171117244</v>
      </c>
      <c r="N442" s="533">
        <v>0.39426656013096095</v>
      </c>
      <c r="O442" s="534">
        <v>0.33383376139605786</v>
      </c>
      <c r="P442" s="534">
        <v>0</v>
      </c>
      <c r="Q442" s="533">
        <v>0</v>
      </c>
      <c r="R442" s="534">
        <v>0</v>
      </c>
      <c r="S442" s="534">
        <v>0</v>
      </c>
      <c r="T442" s="534">
        <v>0</v>
      </c>
      <c r="U442" s="534">
        <v>0.14009115818259116</v>
      </c>
      <c r="V442" s="535"/>
    </row>
    <row r="443" spans="1:22">
      <c r="A443" s="530"/>
      <c r="B443" s="536" t="s">
        <v>751</v>
      </c>
      <c r="C443" s="537">
        <v>4.0827298218321095E-2</v>
      </c>
      <c r="D443" s="538">
        <v>0.21270819462441068</v>
      </c>
      <c r="E443" s="538">
        <v>0.16327694951274799</v>
      </c>
      <c r="F443" s="538">
        <v>0</v>
      </c>
      <c r="G443" s="538">
        <v>3.4621778145257256</v>
      </c>
      <c r="H443" s="538">
        <v>0</v>
      </c>
      <c r="I443" s="538">
        <v>0</v>
      </c>
      <c r="J443" s="540">
        <v>0.31393084364555074</v>
      </c>
      <c r="K443" s="540">
        <v>0</v>
      </c>
      <c r="L443" s="538">
        <v>-0.84917145348377687</v>
      </c>
      <c r="M443" s="538">
        <v>-1.2388760671743271</v>
      </c>
      <c r="N443" s="538">
        <v>-1.8681333946193202</v>
      </c>
      <c r="O443" s="540">
        <v>-1.0481170307431731</v>
      </c>
      <c r="P443" s="540">
        <v>0</v>
      </c>
      <c r="Q443" s="538">
        <v>0</v>
      </c>
      <c r="R443" s="540">
        <v>0</v>
      </c>
      <c r="S443" s="540">
        <v>0</v>
      </c>
      <c r="T443" s="540">
        <v>0</v>
      </c>
      <c r="U443" s="540">
        <v>-5.6959802031741891E-2</v>
      </c>
      <c r="V443" s="535"/>
    </row>
    <row r="444" spans="1:22">
      <c r="A444" s="530"/>
      <c r="B444" s="508" t="s">
        <v>752</v>
      </c>
      <c r="C444" s="527">
        <v>0.10397383565569644</v>
      </c>
      <c r="D444" s="528">
        <v>0.15613024780180723</v>
      </c>
      <c r="E444" s="528">
        <v>0.17125803250925978</v>
      </c>
      <c r="F444" s="528">
        <v>0</v>
      </c>
      <c r="G444" s="528">
        <v>0.12782530966670924</v>
      </c>
      <c r="H444" s="528">
        <v>0</v>
      </c>
      <c r="I444" s="528">
        <v>0</v>
      </c>
      <c r="J444" s="529">
        <v>0.14025849056731543</v>
      </c>
      <c r="K444" s="529">
        <v>0</v>
      </c>
      <c r="L444" s="528">
        <v>0.21715123218745408</v>
      </c>
      <c r="M444" s="528">
        <v>0.18914563519977012</v>
      </c>
      <c r="N444" s="528">
        <v>0.20547917951574718</v>
      </c>
      <c r="O444" s="529">
        <v>0.20434535266743883</v>
      </c>
      <c r="P444" s="529">
        <v>0</v>
      </c>
      <c r="Q444" s="528">
        <v>0</v>
      </c>
      <c r="R444" s="529">
        <v>0</v>
      </c>
      <c r="S444" s="529">
        <v>0</v>
      </c>
      <c r="T444" s="529">
        <v>0</v>
      </c>
      <c r="U444" s="529">
        <v>0.16331254785559252</v>
      </c>
      <c r="V444" s="535"/>
    </row>
    <row r="445" spans="1:22">
      <c r="A445" s="530"/>
      <c r="B445" s="531" t="s">
        <v>753</v>
      </c>
      <c r="C445" s="532">
        <v>0.12182861272458156</v>
      </c>
      <c r="D445" s="533">
        <v>0.17350660795672732</v>
      </c>
      <c r="E445" s="533">
        <v>0.18847566427591905</v>
      </c>
      <c r="F445" s="533">
        <v>0</v>
      </c>
      <c r="G445" s="533">
        <v>0.15787231711992405</v>
      </c>
      <c r="H445" s="533">
        <v>0</v>
      </c>
      <c r="I445" s="533">
        <v>0</v>
      </c>
      <c r="J445" s="534">
        <v>0.15846068794028392</v>
      </c>
      <c r="K445" s="534">
        <v>0</v>
      </c>
      <c r="L445" s="533">
        <v>0.23203280540297652</v>
      </c>
      <c r="M445" s="533">
        <v>0.21001272860901335</v>
      </c>
      <c r="N445" s="533">
        <v>0.2304289361370413</v>
      </c>
      <c r="O445" s="534">
        <v>0.22217404456993042</v>
      </c>
      <c r="P445" s="534">
        <v>0</v>
      </c>
      <c r="Q445" s="533">
        <v>0</v>
      </c>
      <c r="R445" s="534">
        <v>0</v>
      </c>
      <c r="S445" s="534">
        <v>0</v>
      </c>
      <c r="T445" s="534">
        <v>0</v>
      </c>
      <c r="U445" s="534">
        <v>0.18162958355019945</v>
      </c>
      <c r="V445" s="535"/>
    </row>
    <row r="446" spans="1:22">
      <c r="A446" s="530"/>
      <c r="B446" s="536" t="s">
        <v>754</v>
      </c>
      <c r="C446" s="537">
        <v>1.7854777068885122</v>
      </c>
      <c r="D446" s="538">
        <v>1.7376360154920083</v>
      </c>
      <c r="E446" s="538">
        <v>1.7217631766659274</v>
      </c>
      <c r="F446" s="538">
        <v>0</v>
      </c>
      <c r="G446" s="538">
        <v>3.0047007453214816</v>
      </c>
      <c r="H446" s="538">
        <v>0</v>
      </c>
      <c r="I446" s="538">
        <v>0</v>
      </c>
      <c r="J446" s="540">
        <v>1.8202197372968492</v>
      </c>
      <c r="K446" s="540">
        <v>0</v>
      </c>
      <c r="L446" s="538">
        <v>1.4881573215522441</v>
      </c>
      <c r="M446" s="538">
        <v>2.0867093409243225</v>
      </c>
      <c r="N446" s="538">
        <v>2.4949756621294119</v>
      </c>
      <c r="O446" s="540">
        <v>1.7828691902491589</v>
      </c>
      <c r="P446" s="540">
        <v>0</v>
      </c>
      <c r="Q446" s="538">
        <v>0</v>
      </c>
      <c r="R446" s="540">
        <v>0</v>
      </c>
      <c r="S446" s="540">
        <v>0</v>
      </c>
      <c r="T446" s="540">
        <v>0</v>
      </c>
      <c r="U446" s="540">
        <v>1.8317035694606938</v>
      </c>
      <c r="V446" s="535"/>
    </row>
    <row r="447" spans="1:22">
      <c r="A447" s="530"/>
      <c r="B447" s="508" t="s">
        <v>755</v>
      </c>
      <c r="C447" s="527">
        <v>3.4080259009968474E-4</v>
      </c>
      <c r="D447" s="528">
        <v>6.7961194583790923E-3</v>
      </c>
      <c r="E447" s="528">
        <v>0</v>
      </c>
      <c r="F447" s="528">
        <v>0</v>
      </c>
      <c r="G447" s="528">
        <v>2.3283531264632017E-2</v>
      </c>
      <c r="H447" s="528">
        <v>0</v>
      </c>
      <c r="I447" s="528">
        <v>0</v>
      </c>
      <c r="J447" s="529">
        <v>3.6848381589826692E-3</v>
      </c>
      <c r="K447" s="529">
        <v>0</v>
      </c>
      <c r="L447" s="528">
        <v>4.0629131776112826E-4</v>
      </c>
      <c r="M447" s="528">
        <v>3.3318289074750991E-2</v>
      </c>
      <c r="N447" s="528">
        <v>4.3332073294471085E-2</v>
      </c>
      <c r="O447" s="529">
        <v>1.6340420710842952E-2</v>
      </c>
      <c r="P447" s="529">
        <v>0</v>
      </c>
      <c r="Q447" s="528">
        <v>0</v>
      </c>
      <c r="R447" s="529">
        <v>0</v>
      </c>
      <c r="S447" s="529">
        <v>0</v>
      </c>
      <c r="T447" s="529">
        <v>0</v>
      </c>
      <c r="U447" s="529">
        <v>8.2374487191827321E-3</v>
      </c>
      <c r="V447" s="535"/>
    </row>
    <row r="448" spans="1:22">
      <c r="A448" s="530"/>
      <c r="B448" s="531" t="s">
        <v>756</v>
      </c>
      <c r="C448" s="532">
        <v>1.3332869581347896E-4</v>
      </c>
      <c r="D448" s="533">
        <v>7.3332516582949757E-3</v>
      </c>
      <c r="E448" s="533">
        <v>0</v>
      </c>
      <c r="F448" s="533">
        <v>0</v>
      </c>
      <c r="G448" s="533">
        <v>2.219328298717816E-2</v>
      </c>
      <c r="H448" s="533">
        <v>0</v>
      </c>
      <c r="I448" s="533">
        <v>0</v>
      </c>
      <c r="J448" s="534">
        <v>3.6973426112634723E-3</v>
      </c>
      <c r="K448" s="534">
        <v>0</v>
      </c>
      <c r="L448" s="533">
        <v>2.0373214655585146E-5</v>
      </c>
      <c r="M448" s="533">
        <v>3.0856225301705315E-2</v>
      </c>
      <c r="N448" s="533">
        <v>5.6632822091867555E-2</v>
      </c>
      <c r="O448" s="534">
        <v>1.5480843945927671E-2</v>
      </c>
      <c r="P448" s="534">
        <v>0</v>
      </c>
      <c r="Q448" s="533">
        <v>0</v>
      </c>
      <c r="R448" s="534">
        <v>0</v>
      </c>
      <c r="S448" s="534">
        <v>0</v>
      </c>
      <c r="T448" s="534">
        <v>0</v>
      </c>
      <c r="U448" s="534">
        <v>7.9823265892556214E-3</v>
      </c>
      <c r="V448" s="535"/>
    </row>
    <row r="449" spans="1:22">
      <c r="A449" s="530"/>
      <c r="B449" s="536" t="s">
        <v>757</v>
      </c>
      <c r="C449" s="537">
        <v>-2.0747389428620578E-2</v>
      </c>
      <c r="D449" s="538">
        <v>5.3713219991588339E-2</v>
      </c>
      <c r="E449" s="538">
        <v>0</v>
      </c>
      <c r="F449" s="538">
        <v>0</v>
      </c>
      <c r="G449" s="538">
        <v>-0.1090248277453857</v>
      </c>
      <c r="H449" s="538">
        <v>0</v>
      </c>
      <c r="I449" s="538">
        <v>0</v>
      </c>
      <c r="J449" s="540">
        <v>1.2504452280803074E-3</v>
      </c>
      <c r="K449" s="540">
        <v>0</v>
      </c>
      <c r="L449" s="538">
        <v>-3.8591810310554309E-2</v>
      </c>
      <c r="M449" s="538">
        <v>-0.24620637730456765</v>
      </c>
      <c r="N449" s="538">
        <v>1.3300748797396469</v>
      </c>
      <c r="O449" s="540">
        <v>-8.5957676491528121E-2</v>
      </c>
      <c r="P449" s="540">
        <v>0</v>
      </c>
      <c r="Q449" s="538">
        <v>0</v>
      </c>
      <c r="R449" s="540">
        <v>0</v>
      </c>
      <c r="S449" s="540">
        <v>0</v>
      </c>
      <c r="T449" s="540">
        <v>0</v>
      </c>
      <c r="U449" s="540">
        <v>-2.5512212992711072E-2</v>
      </c>
      <c r="V449" s="535"/>
    </row>
    <row r="450" spans="1:22">
      <c r="A450" s="530"/>
      <c r="B450" s="508" t="s">
        <v>758</v>
      </c>
      <c r="C450" s="527">
        <v>3.2995887132378568E-2</v>
      </c>
      <c r="D450" s="528">
        <v>3.7125146149017747E-2</v>
      </c>
      <c r="E450" s="528">
        <v>0.10697977651831958</v>
      </c>
      <c r="F450" s="528">
        <v>0</v>
      </c>
      <c r="G450" s="528">
        <v>1.4594012806246238E-4</v>
      </c>
      <c r="H450" s="528">
        <v>0</v>
      </c>
      <c r="I450" s="528">
        <v>0</v>
      </c>
      <c r="J450" s="529">
        <v>5.1833886696728643E-2</v>
      </c>
      <c r="K450" s="529">
        <v>0</v>
      </c>
      <c r="L450" s="528">
        <v>4.2783393932716324E-2</v>
      </c>
      <c r="M450" s="528">
        <v>5.1768513586591909E-2</v>
      </c>
      <c r="N450" s="528">
        <v>2.4829397369834669E-2</v>
      </c>
      <c r="O450" s="529">
        <v>4.6234682550491686E-2</v>
      </c>
      <c r="P450" s="529">
        <v>0</v>
      </c>
      <c r="Q450" s="528">
        <v>0</v>
      </c>
      <c r="R450" s="529">
        <v>0</v>
      </c>
      <c r="S450" s="529">
        <v>0</v>
      </c>
      <c r="T450" s="529">
        <v>0</v>
      </c>
      <c r="U450" s="529">
        <v>4.9819677092357066E-2</v>
      </c>
      <c r="V450" s="535"/>
    </row>
    <row r="451" spans="1:22">
      <c r="A451" s="530"/>
      <c r="B451" s="531" t="s">
        <v>759</v>
      </c>
      <c r="C451" s="532">
        <v>3.5209403344424732E-2</v>
      </c>
      <c r="D451" s="533">
        <v>3.930697014091003E-2</v>
      </c>
      <c r="E451" s="533">
        <v>9.8875865421989839E-2</v>
      </c>
      <c r="F451" s="533">
        <v>0</v>
      </c>
      <c r="G451" s="533">
        <v>3.2252371766395465E-4</v>
      </c>
      <c r="H451" s="533">
        <v>0</v>
      </c>
      <c r="I451" s="533">
        <v>0</v>
      </c>
      <c r="J451" s="534">
        <v>5.1437736824996853E-2</v>
      </c>
      <c r="K451" s="534">
        <v>0</v>
      </c>
      <c r="L451" s="533">
        <v>4.8235849387615125E-2</v>
      </c>
      <c r="M451" s="533">
        <v>5.9325170691179444E-2</v>
      </c>
      <c r="N451" s="533">
        <v>1.9117962309746068E-2</v>
      </c>
      <c r="O451" s="534">
        <v>5.2289888426884319E-2</v>
      </c>
      <c r="P451" s="534">
        <v>0</v>
      </c>
      <c r="Q451" s="533">
        <v>0</v>
      </c>
      <c r="R451" s="534">
        <v>0</v>
      </c>
      <c r="S451" s="534">
        <v>0</v>
      </c>
      <c r="T451" s="534">
        <v>0</v>
      </c>
      <c r="U451" s="534">
        <v>5.174761551531163E-2</v>
      </c>
      <c r="V451" s="535"/>
    </row>
    <row r="452" spans="1:22">
      <c r="A452" s="530"/>
      <c r="B452" s="536" t="s">
        <v>760</v>
      </c>
      <c r="C452" s="537">
        <v>0.22135162120461641</v>
      </c>
      <c r="D452" s="538">
        <v>0.2181823991892283</v>
      </c>
      <c r="E452" s="538">
        <v>-0.81039110963297412</v>
      </c>
      <c r="F452" s="538">
        <v>0</v>
      </c>
      <c r="G452" s="538">
        <v>1.7658358960149226E-2</v>
      </c>
      <c r="H452" s="538">
        <v>0</v>
      </c>
      <c r="I452" s="538">
        <v>0</v>
      </c>
      <c r="J452" s="540">
        <v>-3.9614987173178934E-2</v>
      </c>
      <c r="K452" s="540">
        <v>0</v>
      </c>
      <c r="L452" s="538">
        <v>0.54524554548988013</v>
      </c>
      <c r="M452" s="538">
        <v>0.75566571045875341</v>
      </c>
      <c r="N452" s="538">
        <v>-0.5711435060088601</v>
      </c>
      <c r="O452" s="540">
        <v>0.60552058763926331</v>
      </c>
      <c r="P452" s="540">
        <v>0</v>
      </c>
      <c r="Q452" s="538">
        <v>0</v>
      </c>
      <c r="R452" s="540">
        <v>0</v>
      </c>
      <c r="S452" s="540">
        <v>0</v>
      </c>
      <c r="T452" s="540">
        <v>0</v>
      </c>
      <c r="U452" s="540">
        <v>0.19279384229545643</v>
      </c>
      <c r="V452" s="535"/>
    </row>
    <row r="453" spans="1:22">
      <c r="A453" s="530"/>
      <c r="B453" s="508" t="s">
        <v>761</v>
      </c>
      <c r="C453" s="527">
        <v>5.350213388894483E-3</v>
      </c>
      <c r="D453" s="528">
        <v>6.3124207144747606E-3</v>
      </c>
      <c r="E453" s="528">
        <v>8.2325102987547989E-3</v>
      </c>
      <c r="F453" s="528">
        <v>0</v>
      </c>
      <c r="G453" s="528">
        <v>1.1371168311533526E-3</v>
      </c>
      <c r="H453" s="528">
        <v>0</v>
      </c>
      <c r="I453" s="528">
        <v>0</v>
      </c>
      <c r="J453" s="529">
        <v>6.1883476092737524E-3</v>
      </c>
      <c r="K453" s="529">
        <v>0</v>
      </c>
      <c r="L453" s="528">
        <v>9.3424048773321582E-4</v>
      </c>
      <c r="M453" s="528">
        <v>1.7687168873835595E-3</v>
      </c>
      <c r="N453" s="528">
        <v>3.4418956289915047E-3</v>
      </c>
      <c r="O453" s="529">
        <v>1.381237111165482E-3</v>
      </c>
      <c r="P453" s="529">
        <v>0</v>
      </c>
      <c r="Q453" s="528">
        <v>0</v>
      </c>
      <c r="R453" s="529">
        <v>0</v>
      </c>
      <c r="S453" s="529">
        <v>0</v>
      </c>
      <c r="T453" s="529">
        <v>0</v>
      </c>
      <c r="U453" s="529">
        <v>4.4590789700739413E-3</v>
      </c>
      <c r="V453" s="535"/>
    </row>
    <row r="454" spans="1:22">
      <c r="A454" s="530"/>
      <c r="B454" s="531" t="s">
        <v>762</v>
      </c>
      <c r="C454" s="532">
        <v>5.1090010395773676E-3</v>
      </c>
      <c r="D454" s="533">
        <v>7.1376433731516302E-3</v>
      </c>
      <c r="E454" s="533">
        <v>7.9188437179696057E-3</v>
      </c>
      <c r="F454" s="533">
        <v>0</v>
      </c>
      <c r="G454" s="533">
        <v>1.0162539782996307E-3</v>
      </c>
      <c r="H454" s="533">
        <v>0</v>
      </c>
      <c r="I454" s="533">
        <v>0</v>
      </c>
      <c r="J454" s="534">
        <v>6.291380290397993E-3</v>
      </c>
      <c r="K454" s="534">
        <v>0</v>
      </c>
      <c r="L454" s="533">
        <v>1.4023562754594443E-3</v>
      </c>
      <c r="M454" s="533">
        <v>1.9292630188639051E-3</v>
      </c>
      <c r="N454" s="533">
        <v>5.1838715335295153E-3</v>
      </c>
      <c r="O454" s="534">
        <v>1.7521902377972466E-3</v>
      </c>
      <c r="P454" s="534">
        <v>0</v>
      </c>
      <c r="Q454" s="533">
        <v>0</v>
      </c>
      <c r="R454" s="534">
        <v>0</v>
      </c>
      <c r="S454" s="534">
        <v>0</v>
      </c>
      <c r="T454" s="534">
        <v>0</v>
      </c>
      <c r="U454" s="534">
        <v>4.6407370650913254E-3</v>
      </c>
      <c r="V454" s="535"/>
    </row>
    <row r="455" spans="1:22" ht="15.75" thickBot="1">
      <c r="A455" s="530"/>
      <c r="B455" s="542" t="s">
        <v>763</v>
      </c>
      <c r="C455" s="543">
        <v>-2.4121234931711536E-2</v>
      </c>
      <c r="D455" s="544">
        <v>8.2522265867686961E-2</v>
      </c>
      <c r="E455" s="544">
        <v>-3.1366658078519315E-2</v>
      </c>
      <c r="F455" s="544">
        <v>0</v>
      </c>
      <c r="G455" s="544">
        <v>-1.208628528537219E-2</v>
      </c>
      <c r="H455" s="544">
        <v>0</v>
      </c>
      <c r="I455" s="544">
        <v>0</v>
      </c>
      <c r="J455" s="545">
        <v>1.0303268112424064E-2</v>
      </c>
      <c r="K455" s="545">
        <v>0</v>
      </c>
      <c r="L455" s="544">
        <v>4.6811578772622847E-2</v>
      </c>
      <c r="M455" s="544">
        <v>1.6054613148034563E-2</v>
      </c>
      <c r="N455" s="544">
        <v>0.17419759045380107</v>
      </c>
      <c r="O455" s="545">
        <v>3.7095312663176457E-2</v>
      </c>
      <c r="P455" s="545">
        <v>0</v>
      </c>
      <c r="Q455" s="544">
        <v>0</v>
      </c>
      <c r="R455" s="545">
        <v>0</v>
      </c>
      <c r="S455" s="545">
        <v>0</v>
      </c>
      <c r="T455" s="545">
        <v>0</v>
      </c>
      <c r="U455" s="545">
        <v>1.8165809501738406E-2</v>
      </c>
      <c r="V455" s="535"/>
    </row>
    <row r="456" spans="1:22" ht="15.75" thickTop="1">
      <c r="A456" s="530"/>
      <c r="B456" s="531" t="s">
        <v>764</v>
      </c>
      <c r="C456" s="532">
        <v>0.69113939248409173</v>
      </c>
      <c r="D456" s="533">
        <v>0.48708176550816884</v>
      </c>
      <c r="E456" s="533">
        <v>0.43463491445657365</v>
      </c>
      <c r="F456" s="533">
        <v>0</v>
      </c>
      <c r="G456" s="533">
        <v>0.13023531152878495</v>
      </c>
      <c r="H456" s="533">
        <v>0</v>
      </c>
      <c r="I456" s="533">
        <v>0</v>
      </c>
      <c r="J456" s="534">
        <v>0.56673647502534896</v>
      </c>
      <c r="K456" s="534">
        <v>0</v>
      </c>
      <c r="L456" s="533">
        <v>0</v>
      </c>
      <c r="M456" s="533">
        <v>0</v>
      </c>
      <c r="N456" s="533">
        <v>0</v>
      </c>
      <c r="O456" s="534">
        <v>0</v>
      </c>
      <c r="P456" s="534">
        <v>0</v>
      </c>
      <c r="Q456" s="533">
        <v>0</v>
      </c>
      <c r="R456" s="534">
        <v>0</v>
      </c>
      <c r="S456" s="534">
        <v>0</v>
      </c>
      <c r="T456" s="534">
        <v>0</v>
      </c>
      <c r="U456" s="534">
        <v>0.56673647502534896</v>
      </c>
      <c r="V456" s="535"/>
    </row>
    <row r="457" spans="1:22">
      <c r="A457" s="530"/>
      <c r="B457" s="531" t="s">
        <v>765</v>
      </c>
      <c r="C457" s="532">
        <v>0.67444735311227455</v>
      </c>
      <c r="D457" s="533">
        <v>0.47400773419012254</v>
      </c>
      <c r="E457" s="533">
        <v>0.41711914174636244</v>
      </c>
      <c r="F457" s="533">
        <v>0</v>
      </c>
      <c r="G457" s="533">
        <v>0.14709032488397</v>
      </c>
      <c r="H457" s="533">
        <v>0</v>
      </c>
      <c r="I457" s="533">
        <v>0</v>
      </c>
      <c r="J457" s="534">
        <v>0.55176528719129614</v>
      </c>
      <c r="K457" s="534">
        <v>0</v>
      </c>
      <c r="L457" s="533">
        <v>0</v>
      </c>
      <c r="M457" s="533">
        <v>0</v>
      </c>
      <c r="N457" s="533">
        <v>0</v>
      </c>
      <c r="O457" s="534">
        <v>0</v>
      </c>
      <c r="P457" s="534">
        <v>0</v>
      </c>
      <c r="Q457" s="533">
        <v>0</v>
      </c>
      <c r="R457" s="534">
        <v>0</v>
      </c>
      <c r="S457" s="534">
        <v>0</v>
      </c>
      <c r="T457" s="534">
        <v>0</v>
      </c>
      <c r="U457" s="534">
        <v>0.55176528719129614</v>
      </c>
      <c r="V457" s="535"/>
    </row>
    <row r="458" spans="1:22">
      <c r="A458" s="530"/>
      <c r="B458" s="536" t="s">
        <v>766</v>
      </c>
      <c r="C458" s="537">
        <v>-1.669203937181718</v>
      </c>
      <c r="D458" s="538">
        <v>-1.3074031318046297</v>
      </c>
      <c r="E458" s="538">
        <v>-1.7515772710211208</v>
      </c>
      <c r="F458" s="538">
        <v>0</v>
      </c>
      <c r="G458" s="538">
        <v>1.6855013355185049</v>
      </c>
      <c r="H458" s="538">
        <v>0</v>
      </c>
      <c r="I458" s="538">
        <v>0</v>
      </c>
      <c r="J458" s="540">
        <v>-1.4971187834052824</v>
      </c>
      <c r="K458" s="540">
        <v>0</v>
      </c>
      <c r="L458" s="538">
        <v>0</v>
      </c>
      <c r="M458" s="538">
        <v>0</v>
      </c>
      <c r="N458" s="538">
        <v>0</v>
      </c>
      <c r="O458" s="540">
        <v>0</v>
      </c>
      <c r="P458" s="540">
        <v>0</v>
      </c>
      <c r="Q458" s="538">
        <v>0</v>
      </c>
      <c r="R458" s="540">
        <v>0</v>
      </c>
      <c r="S458" s="540">
        <v>0</v>
      </c>
      <c r="T458" s="540">
        <v>0</v>
      </c>
      <c r="U458" s="540">
        <v>-1.4971187834052824</v>
      </c>
      <c r="V458" s="535"/>
    </row>
    <row r="459" spans="1:22">
      <c r="A459" s="530"/>
      <c r="B459" s="508" t="s">
        <v>767</v>
      </c>
      <c r="C459" s="527">
        <v>2.0323901762249703E-2</v>
      </c>
      <c r="D459" s="528">
        <v>9.6671535388514335E-2</v>
      </c>
      <c r="E459" s="528">
        <v>3.4146600378620337E-3</v>
      </c>
      <c r="F459" s="528">
        <v>0</v>
      </c>
      <c r="G459" s="528">
        <v>0</v>
      </c>
      <c r="H459" s="528">
        <v>0</v>
      </c>
      <c r="I459" s="528">
        <v>0</v>
      </c>
      <c r="J459" s="529">
        <v>4.1802887728574996E-2</v>
      </c>
      <c r="K459" s="529">
        <v>0</v>
      </c>
      <c r="L459" s="528">
        <v>0</v>
      </c>
      <c r="M459" s="528">
        <v>0</v>
      </c>
      <c r="N459" s="528">
        <v>0</v>
      </c>
      <c r="O459" s="529">
        <v>0</v>
      </c>
      <c r="P459" s="529">
        <v>0</v>
      </c>
      <c r="Q459" s="528">
        <v>0</v>
      </c>
      <c r="R459" s="529">
        <v>0</v>
      </c>
      <c r="S459" s="529">
        <v>0</v>
      </c>
      <c r="T459" s="529">
        <v>0</v>
      </c>
      <c r="U459" s="529">
        <v>4.1802887728574996E-2</v>
      </c>
      <c r="V459" s="535"/>
    </row>
    <row r="460" spans="1:22">
      <c r="A460" s="530"/>
      <c r="B460" s="531" t="s">
        <v>768</v>
      </c>
      <c r="C460" s="532">
        <v>1.5363054630070337E-2</v>
      </c>
      <c r="D460" s="533">
        <v>8.7875406429767017E-2</v>
      </c>
      <c r="E460" s="533">
        <v>2.5098013484030775E-3</v>
      </c>
      <c r="F460" s="533">
        <v>0</v>
      </c>
      <c r="G460" s="533">
        <v>0</v>
      </c>
      <c r="H460" s="533">
        <v>0</v>
      </c>
      <c r="I460" s="533">
        <v>0</v>
      </c>
      <c r="J460" s="534">
        <v>3.6085758058852231E-2</v>
      </c>
      <c r="K460" s="534">
        <v>0</v>
      </c>
      <c r="L460" s="533">
        <v>0</v>
      </c>
      <c r="M460" s="533">
        <v>0</v>
      </c>
      <c r="N460" s="533">
        <v>0</v>
      </c>
      <c r="O460" s="534">
        <v>0</v>
      </c>
      <c r="P460" s="534">
        <v>0</v>
      </c>
      <c r="Q460" s="533">
        <v>0</v>
      </c>
      <c r="R460" s="534">
        <v>0</v>
      </c>
      <c r="S460" s="534">
        <v>0</v>
      </c>
      <c r="T460" s="534">
        <v>0</v>
      </c>
      <c r="U460" s="534">
        <v>3.6085758058852231E-2</v>
      </c>
      <c r="V460" s="535"/>
    </row>
    <row r="461" spans="1:22">
      <c r="A461" s="530"/>
      <c r="B461" s="536" t="s">
        <v>769</v>
      </c>
      <c r="C461" s="537">
        <v>-0.49608471321793657</v>
      </c>
      <c r="D461" s="538">
        <v>-0.87961289587473179</v>
      </c>
      <c r="E461" s="538">
        <v>-9.0485868945895623E-2</v>
      </c>
      <c r="F461" s="538">
        <v>0</v>
      </c>
      <c r="G461" s="538">
        <v>0</v>
      </c>
      <c r="H461" s="538">
        <v>0</v>
      </c>
      <c r="I461" s="538">
        <v>0</v>
      </c>
      <c r="J461" s="540">
        <v>-0.57171296697227647</v>
      </c>
      <c r="K461" s="540">
        <v>0</v>
      </c>
      <c r="L461" s="538">
        <v>0</v>
      </c>
      <c r="M461" s="538">
        <v>0</v>
      </c>
      <c r="N461" s="538">
        <v>0</v>
      </c>
      <c r="O461" s="540">
        <v>0</v>
      </c>
      <c r="P461" s="540">
        <v>0</v>
      </c>
      <c r="Q461" s="538">
        <v>0</v>
      </c>
      <c r="R461" s="540">
        <v>0</v>
      </c>
      <c r="S461" s="540">
        <v>0</v>
      </c>
      <c r="T461" s="540">
        <v>0</v>
      </c>
      <c r="U461" s="540">
        <v>-0.57171296697227647</v>
      </c>
      <c r="V461" s="535"/>
    </row>
    <row r="462" spans="1:22">
      <c r="A462" s="530"/>
      <c r="B462" s="508" t="s">
        <v>770</v>
      </c>
      <c r="C462" s="527">
        <v>0.22511039073651631</v>
      </c>
      <c r="D462" s="528">
        <v>0.33553554328164747</v>
      </c>
      <c r="E462" s="528">
        <v>0.49792112666088711</v>
      </c>
      <c r="F462" s="528">
        <v>0</v>
      </c>
      <c r="G462" s="528">
        <v>0.86976468847121502</v>
      </c>
      <c r="H462" s="528">
        <v>0</v>
      </c>
      <c r="I462" s="528">
        <v>0</v>
      </c>
      <c r="J462" s="529">
        <v>0.32363597310009129</v>
      </c>
      <c r="K462" s="529">
        <v>0</v>
      </c>
      <c r="L462" s="528">
        <v>0</v>
      </c>
      <c r="M462" s="528">
        <v>0</v>
      </c>
      <c r="N462" s="528">
        <v>0</v>
      </c>
      <c r="O462" s="529">
        <v>0</v>
      </c>
      <c r="P462" s="529">
        <v>0</v>
      </c>
      <c r="Q462" s="528">
        <v>0</v>
      </c>
      <c r="R462" s="529">
        <v>0</v>
      </c>
      <c r="S462" s="529">
        <v>0</v>
      </c>
      <c r="T462" s="529">
        <v>0</v>
      </c>
      <c r="U462" s="529">
        <v>0.32363597310009129</v>
      </c>
      <c r="V462" s="535"/>
    </row>
    <row r="463" spans="1:22">
      <c r="A463" s="530"/>
      <c r="B463" s="531" t="s">
        <v>771</v>
      </c>
      <c r="C463" s="532">
        <v>0.24457269025331851</v>
      </c>
      <c r="D463" s="533">
        <v>0.36483444600496373</v>
      </c>
      <c r="E463" s="533">
        <v>0.511753416118502</v>
      </c>
      <c r="F463" s="533">
        <v>0</v>
      </c>
      <c r="G463" s="533">
        <v>0.85237415208853984</v>
      </c>
      <c r="H463" s="533">
        <v>0</v>
      </c>
      <c r="I463" s="533">
        <v>0</v>
      </c>
      <c r="J463" s="534">
        <v>0.3446202325126092</v>
      </c>
      <c r="K463" s="534">
        <v>0</v>
      </c>
      <c r="L463" s="533">
        <v>0</v>
      </c>
      <c r="M463" s="533">
        <v>0</v>
      </c>
      <c r="N463" s="533">
        <v>0</v>
      </c>
      <c r="O463" s="534">
        <v>0</v>
      </c>
      <c r="P463" s="534">
        <v>0</v>
      </c>
      <c r="Q463" s="533">
        <v>0</v>
      </c>
      <c r="R463" s="534">
        <v>0</v>
      </c>
      <c r="S463" s="534">
        <v>0</v>
      </c>
      <c r="T463" s="534">
        <v>0</v>
      </c>
      <c r="U463" s="534">
        <v>0.3446202325126092</v>
      </c>
      <c r="V463" s="535"/>
    </row>
    <row r="464" spans="1:22">
      <c r="A464" s="530"/>
      <c r="B464" s="536" t="s">
        <v>772</v>
      </c>
      <c r="C464" s="537">
        <v>1.9462299516802202</v>
      </c>
      <c r="D464" s="538">
        <v>2.9298902723316256</v>
      </c>
      <c r="E464" s="538">
        <v>1.3832289457614888</v>
      </c>
      <c r="F464" s="538">
        <v>0</v>
      </c>
      <c r="G464" s="538">
        <v>-1.7390536382675181</v>
      </c>
      <c r="H464" s="538">
        <v>0</v>
      </c>
      <c r="I464" s="538">
        <v>0</v>
      </c>
      <c r="J464" s="540">
        <v>2.0984259412517914</v>
      </c>
      <c r="K464" s="540">
        <v>0</v>
      </c>
      <c r="L464" s="538">
        <v>0</v>
      </c>
      <c r="M464" s="538">
        <v>0</v>
      </c>
      <c r="N464" s="538">
        <v>0</v>
      </c>
      <c r="O464" s="540">
        <v>0</v>
      </c>
      <c r="P464" s="540">
        <v>0</v>
      </c>
      <c r="Q464" s="538">
        <v>0</v>
      </c>
      <c r="R464" s="540">
        <v>0</v>
      </c>
      <c r="S464" s="540">
        <v>0</v>
      </c>
      <c r="T464" s="540">
        <v>0</v>
      </c>
      <c r="U464" s="540">
        <v>2.0984259412517914</v>
      </c>
      <c r="V464" s="535"/>
    </row>
    <row r="465" spans="1:22">
      <c r="A465" s="530"/>
      <c r="B465" s="508" t="s">
        <v>773</v>
      </c>
      <c r="C465" s="527">
        <v>1.1405931084163764E-3</v>
      </c>
      <c r="D465" s="528">
        <v>2.5826796026349134E-3</v>
      </c>
      <c r="E465" s="528">
        <v>1.061552343376798E-4</v>
      </c>
      <c r="F465" s="528">
        <v>0</v>
      </c>
      <c r="G465" s="528">
        <v>0</v>
      </c>
      <c r="H465" s="528">
        <v>0</v>
      </c>
      <c r="I465" s="528">
        <v>0</v>
      </c>
      <c r="J465" s="529">
        <v>1.4024846721692079E-3</v>
      </c>
      <c r="K465" s="529">
        <v>0</v>
      </c>
      <c r="L465" s="528">
        <v>0</v>
      </c>
      <c r="M465" s="528">
        <v>0</v>
      </c>
      <c r="N465" s="528">
        <v>0</v>
      </c>
      <c r="O465" s="529">
        <v>0</v>
      </c>
      <c r="P465" s="529">
        <v>0</v>
      </c>
      <c r="Q465" s="528">
        <v>0</v>
      </c>
      <c r="R465" s="529">
        <v>0</v>
      </c>
      <c r="S465" s="529">
        <v>0</v>
      </c>
      <c r="T465" s="529">
        <v>0</v>
      </c>
      <c r="U465" s="529">
        <v>1.4024846721692079E-3</v>
      </c>
      <c r="V465" s="535"/>
    </row>
    <row r="466" spans="1:22">
      <c r="A466" s="530"/>
      <c r="B466" s="531" t="s">
        <v>774</v>
      </c>
      <c r="C466" s="532">
        <v>1.0907504363001745E-3</v>
      </c>
      <c r="D466" s="533">
        <v>2.3087134694191663E-3</v>
      </c>
      <c r="E466" s="533">
        <v>0</v>
      </c>
      <c r="F466" s="533">
        <v>0</v>
      </c>
      <c r="G466" s="533">
        <v>0</v>
      </c>
      <c r="H466" s="533">
        <v>0</v>
      </c>
      <c r="I466" s="533">
        <v>0</v>
      </c>
      <c r="J466" s="534">
        <v>1.2585887025348909E-3</v>
      </c>
      <c r="K466" s="534">
        <v>0</v>
      </c>
      <c r="L466" s="533">
        <v>0</v>
      </c>
      <c r="M466" s="533">
        <v>0</v>
      </c>
      <c r="N466" s="533">
        <v>0</v>
      </c>
      <c r="O466" s="534">
        <v>0</v>
      </c>
      <c r="P466" s="534">
        <v>0</v>
      </c>
      <c r="Q466" s="533">
        <v>0</v>
      </c>
      <c r="R466" s="534">
        <v>0</v>
      </c>
      <c r="S466" s="534">
        <v>0</v>
      </c>
      <c r="T466" s="534">
        <v>0</v>
      </c>
      <c r="U466" s="534">
        <v>1.2585887025348909E-3</v>
      </c>
      <c r="V466" s="535"/>
    </row>
    <row r="467" spans="1:22">
      <c r="A467" s="530"/>
      <c r="B467" s="536" t="s">
        <v>775</v>
      </c>
      <c r="C467" s="537">
        <v>-4.9842672116201915E-3</v>
      </c>
      <c r="D467" s="538">
        <v>-2.7396613321574708E-2</v>
      </c>
      <c r="E467" s="538">
        <v>-1.061552343376798E-2</v>
      </c>
      <c r="F467" s="538">
        <v>0</v>
      </c>
      <c r="G467" s="538">
        <v>0</v>
      </c>
      <c r="H467" s="538">
        <v>0</v>
      </c>
      <c r="I467" s="538">
        <v>0</v>
      </c>
      <c r="J467" s="540">
        <v>-1.4389596963431707E-2</v>
      </c>
      <c r="K467" s="540">
        <v>0</v>
      </c>
      <c r="L467" s="538">
        <v>0</v>
      </c>
      <c r="M467" s="538">
        <v>0</v>
      </c>
      <c r="N467" s="538">
        <v>0</v>
      </c>
      <c r="O467" s="540">
        <v>0</v>
      </c>
      <c r="P467" s="540">
        <v>0</v>
      </c>
      <c r="Q467" s="538">
        <v>0</v>
      </c>
      <c r="R467" s="540">
        <v>0</v>
      </c>
      <c r="S467" s="540">
        <v>0</v>
      </c>
      <c r="T467" s="540">
        <v>0</v>
      </c>
      <c r="U467" s="540">
        <v>-1.4389596963431707E-2</v>
      </c>
      <c r="V467" s="535"/>
    </row>
    <row r="468" spans="1:22">
      <c r="A468" s="530"/>
      <c r="B468" s="508" t="s">
        <v>776</v>
      </c>
      <c r="C468" s="527">
        <v>2.9615400008004163E-2</v>
      </c>
      <c r="D468" s="528">
        <v>2.8941488281212215E-2</v>
      </c>
      <c r="E468" s="528">
        <v>3.3704286902213339E-2</v>
      </c>
      <c r="F468" s="528">
        <v>0</v>
      </c>
      <c r="G468" s="528">
        <v>0</v>
      </c>
      <c r="H468" s="528">
        <v>0</v>
      </c>
      <c r="I468" s="528">
        <v>0</v>
      </c>
      <c r="J468" s="529">
        <v>2.9493241855954717E-2</v>
      </c>
      <c r="K468" s="529">
        <v>0</v>
      </c>
      <c r="L468" s="528">
        <v>0</v>
      </c>
      <c r="M468" s="528">
        <v>0</v>
      </c>
      <c r="N468" s="528">
        <v>0</v>
      </c>
      <c r="O468" s="529">
        <v>0</v>
      </c>
      <c r="P468" s="529">
        <v>0</v>
      </c>
      <c r="Q468" s="528">
        <v>0</v>
      </c>
      <c r="R468" s="529">
        <v>0</v>
      </c>
      <c r="S468" s="529">
        <v>0</v>
      </c>
      <c r="T468" s="529">
        <v>0</v>
      </c>
      <c r="U468" s="529">
        <v>2.9493241855954717E-2</v>
      </c>
      <c r="V468" s="535"/>
    </row>
    <row r="469" spans="1:22">
      <c r="A469" s="530"/>
      <c r="B469" s="531" t="s">
        <v>777</v>
      </c>
      <c r="C469" s="532">
        <v>2.9377545084351368E-2</v>
      </c>
      <c r="D469" s="533">
        <v>2.7387113530984858E-2</v>
      </c>
      <c r="E469" s="533">
        <v>4.0829382720099734E-2</v>
      </c>
      <c r="F469" s="533">
        <v>0</v>
      </c>
      <c r="G469" s="533">
        <v>5.355230274901821E-4</v>
      </c>
      <c r="H469" s="533">
        <v>0</v>
      </c>
      <c r="I469" s="533">
        <v>0</v>
      </c>
      <c r="J469" s="534">
        <v>3.040190932567614E-2</v>
      </c>
      <c r="K469" s="534">
        <v>0</v>
      </c>
      <c r="L469" s="533">
        <v>0</v>
      </c>
      <c r="M469" s="533">
        <v>0</v>
      </c>
      <c r="N469" s="533">
        <v>0</v>
      </c>
      <c r="O469" s="534">
        <v>0</v>
      </c>
      <c r="P469" s="534">
        <v>0</v>
      </c>
      <c r="Q469" s="533">
        <v>0</v>
      </c>
      <c r="R469" s="534">
        <v>0</v>
      </c>
      <c r="S469" s="534">
        <v>0</v>
      </c>
      <c r="T469" s="534">
        <v>0</v>
      </c>
      <c r="U469" s="534">
        <v>3.040190932567614E-2</v>
      </c>
      <c r="V469" s="535"/>
    </row>
    <row r="470" spans="1:22">
      <c r="A470" s="530"/>
      <c r="B470" s="536" t="s">
        <v>778</v>
      </c>
      <c r="C470" s="537">
        <v>-2.3785492365279576E-2</v>
      </c>
      <c r="D470" s="538">
        <v>-0.15543747502273567</v>
      </c>
      <c r="E470" s="538">
        <v>0.71250958178863955</v>
      </c>
      <c r="F470" s="538">
        <v>0</v>
      </c>
      <c r="G470" s="538">
        <v>0</v>
      </c>
      <c r="H470" s="538">
        <v>0</v>
      </c>
      <c r="I470" s="538">
        <v>0</v>
      </c>
      <c r="J470" s="540">
        <v>9.0866746972142337E-2</v>
      </c>
      <c r="K470" s="540">
        <v>0</v>
      </c>
      <c r="L470" s="538">
        <v>0</v>
      </c>
      <c r="M470" s="538">
        <v>0</v>
      </c>
      <c r="N470" s="538">
        <v>0</v>
      </c>
      <c r="O470" s="540">
        <v>0</v>
      </c>
      <c r="P470" s="540">
        <v>0</v>
      </c>
      <c r="Q470" s="538">
        <v>0</v>
      </c>
      <c r="R470" s="540">
        <v>0</v>
      </c>
      <c r="S470" s="540">
        <v>0</v>
      </c>
      <c r="T470" s="540">
        <v>0</v>
      </c>
      <c r="U470" s="540">
        <v>9.0866746972142337E-2</v>
      </c>
      <c r="V470" s="535"/>
    </row>
    <row r="471" spans="1:22">
      <c r="A471" s="530"/>
      <c r="B471" s="508" t="s">
        <v>779</v>
      </c>
      <c r="C471" s="527">
        <v>3.2670321900721708E-2</v>
      </c>
      <c r="D471" s="528">
        <v>4.9186987937822231E-2</v>
      </c>
      <c r="E471" s="528">
        <v>3.0218856708126181E-2</v>
      </c>
      <c r="F471" s="528">
        <v>0</v>
      </c>
      <c r="G471" s="528">
        <v>0</v>
      </c>
      <c r="H471" s="528">
        <v>0</v>
      </c>
      <c r="I471" s="528">
        <v>0</v>
      </c>
      <c r="J471" s="529">
        <v>3.6928937617860834E-2</v>
      </c>
      <c r="K471" s="529">
        <v>0</v>
      </c>
      <c r="L471" s="528">
        <v>0</v>
      </c>
      <c r="M471" s="528">
        <v>0</v>
      </c>
      <c r="N471" s="528">
        <v>0</v>
      </c>
      <c r="O471" s="529">
        <v>0</v>
      </c>
      <c r="P471" s="529">
        <v>0</v>
      </c>
      <c r="Q471" s="528">
        <v>0</v>
      </c>
      <c r="R471" s="529">
        <v>0</v>
      </c>
      <c r="S471" s="529">
        <v>0</v>
      </c>
      <c r="T471" s="529">
        <v>0</v>
      </c>
      <c r="U471" s="529">
        <v>3.6928937617860834E-2</v>
      </c>
      <c r="V471" s="535"/>
    </row>
    <row r="472" spans="1:22">
      <c r="A472" s="530"/>
      <c r="B472" s="531" t="s">
        <v>780</v>
      </c>
      <c r="C472" s="532">
        <v>3.5148606483685015E-2</v>
      </c>
      <c r="D472" s="533">
        <v>4.3586586374742678E-2</v>
      </c>
      <c r="E472" s="533">
        <v>2.7788258066632765E-2</v>
      </c>
      <c r="F472" s="533">
        <v>0</v>
      </c>
      <c r="G472" s="533">
        <v>0</v>
      </c>
      <c r="H472" s="533">
        <v>0</v>
      </c>
      <c r="I472" s="533">
        <v>0</v>
      </c>
      <c r="J472" s="534">
        <v>3.5868224209031387E-2</v>
      </c>
      <c r="K472" s="534">
        <v>0</v>
      </c>
      <c r="L472" s="533">
        <v>0</v>
      </c>
      <c r="M472" s="533">
        <v>0</v>
      </c>
      <c r="N472" s="533">
        <v>0</v>
      </c>
      <c r="O472" s="534">
        <v>0</v>
      </c>
      <c r="P472" s="534">
        <v>0</v>
      </c>
      <c r="Q472" s="533">
        <v>0</v>
      </c>
      <c r="R472" s="534">
        <v>0</v>
      </c>
      <c r="S472" s="534">
        <v>0</v>
      </c>
      <c r="T472" s="534">
        <v>0</v>
      </c>
      <c r="U472" s="534">
        <v>3.5868224209031387E-2</v>
      </c>
      <c r="V472" s="535"/>
    </row>
    <row r="473" spans="1:22" ht="15.75" thickBot="1">
      <c r="A473" s="546"/>
      <c r="B473" s="547" t="s">
        <v>781</v>
      </c>
      <c r="C473" s="548">
        <v>0.24782845829633068</v>
      </c>
      <c r="D473" s="549">
        <v>-0.56004015630795534</v>
      </c>
      <c r="E473" s="549">
        <v>-0.24305986414934166</v>
      </c>
      <c r="F473" s="549">
        <v>0</v>
      </c>
      <c r="G473" s="549">
        <v>0</v>
      </c>
      <c r="H473" s="549">
        <v>0</v>
      </c>
      <c r="I473" s="549">
        <v>0</v>
      </c>
      <c r="J473" s="550">
        <v>-0.10607134088294473</v>
      </c>
      <c r="K473" s="550">
        <v>0</v>
      </c>
      <c r="L473" s="549">
        <v>0</v>
      </c>
      <c r="M473" s="549">
        <v>0</v>
      </c>
      <c r="N473" s="549">
        <v>0</v>
      </c>
      <c r="O473" s="550">
        <v>0</v>
      </c>
      <c r="P473" s="550">
        <v>0</v>
      </c>
      <c r="Q473" s="549">
        <v>0</v>
      </c>
      <c r="R473" s="550">
        <v>0</v>
      </c>
      <c r="S473" s="550">
        <v>0</v>
      </c>
      <c r="T473" s="550">
        <v>0</v>
      </c>
      <c r="U473" s="550">
        <v>-0.10607134088294473</v>
      </c>
      <c r="V473" s="535"/>
    </row>
    <row r="474" spans="1:22">
      <c r="A474" s="526" t="s">
        <v>523</v>
      </c>
      <c r="B474" s="508" t="s">
        <v>746</v>
      </c>
      <c r="C474" s="527">
        <v>0.82881305343923972</v>
      </c>
      <c r="D474" s="528">
        <v>0.83633470994616088</v>
      </c>
      <c r="E474" s="528">
        <v>0.75527901208249226</v>
      </c>
      <c r="F474" s="528">
        <v>0.42618963056283382</v>
      </c>
      <c r="G474" s="528">
        <v>0.58586091285861586</v>
      </c>
      <c r="H474" s="528">
        <v>0</v>
      </c>
      <c r="I474" s="528">
        <v>0</v>
      </c>
      <c r="J474" s="529">
        <v>0.79403158963382969</v>
      </c>
      <c r="K474" s="529">
        <v>0.73658789583980611</v>
      </c>
      <c r="L474" s="528">
        <v>0.60654816343639639</v>
      </c>
      <c r="M474" s="528">
        <v>0.48274929369189706</v>
      </c>
      <c r="N474" s="528">
        <v>0.50611622552456259</v>
      </c>
      <c r="O474" s="529">
        <v>0.58931940304823704</v>
      </c>
      <c r="P474" s="529">
        <v>0</v>
      </c>
      <c r="Q474" s="528">
        <v>0</v>
      </c>
      <c r="R474" s="529">
        <v>0</v>
      </c>
      <c r="S474" s="529">
        <v>0</v>
      </c>
      <c r="T474" s="529">
        <v>0</v>
      </c>
      <c r="U474" s="529">
        <v>0.68853468218887071</v>
      </c>
      <c r="V474" s="535"/>
    </row>
    <row r="475" spans="1:22">
      <c r="A475" s="530"/>
      <c r="B475" s="531" t="s">
        <v>747</v>
      </c>
      <c r="C475" s="532">
        <v>0.8101430367802126</v>
      </c>
      <c r="D475" s="533">
        <v>0.82061815968221252</v>
      </c>
      <c r="E475" s="533">
        <v>0.73272734066729717</v>
      </c>
      <c r="F475" s="533">
        <v>0.41891493197836421</v>
      </c>
      <c r="G475" s="533">
        <v>0.56033803137673988</v>
      </c>
      <c r="H475" s="533">
        <v>0</v>
      </c>
      <c r="I475" s="533">
        <v>0</v>
      </c>
      <c r="J475" s="534">
        <v>0.7745677512097221</v>
      </c>
      <c r="K475" s="534">
        <v>0.72794311035767933</v>
      </c>
      <c r="L475" s="533">
        <v>0.57388970265668338</v>
      </c>
      <c r="M475" s="533">
        <v>0.45226721322712415</v>
      </c>
      <c r="N475" s="533">
        <v>0.49598532024412756</v>
      </c>
      <c r="O475" s="534">
        <v>0.55934743702503853</v>
      </c>
      <c r="P475" s="534">
        <v>0</v>
      </c>
      <c r="Q475" s="533">
        <v>0</v>
      </c>
      <c r="R475" s="534">
        <v>0</v>
      </c>
      <c r="S475" s="534">
        <v>0</v>
      </c>
      <c r="T475" s="534">
        <v>0</v>
      </c>
      <c r="U475" s="534">
        <v>0.66369805473120302</v>
      </c>
      <c r="V475" s="535"/>
    </row>
    <row r="476" spans="1:22">
      <c r="A476" s="530"/>
      <c r="B476" s="536" t="s">
        <v>748</v>
      </c>
      <c r="C476" s="537">
        <v>-1.8670016659027122</v>
      </c>
      <c r="D476" s="538">
        <v>-1.5716550263948359</v>
      </c>
      <c r="E476" s="538">
        <v>-2.2551671415195096</v>
      </c>
      <c r="F476" s="538">
        <v>-0.72746985844696077</v>
      </c>
      <c r="G476" s="538">
        <v>-2.5522881481875981</v>
      </c>
      <c r="H476" s="538">
        <v>0</v>
      </c>
      <c r="I476" s="538">
        <v>0</v>
      </c>
      <c r="J476" s="540">
        <v>-1.9463838424107593</v>
      </c>
      <c r="K476" s="540">
        <v>-0.86447854821267711</v>
      </c>
      <c r="L476" s="538">
        <v>-3.2658460779713017</v>
      </c>
      <c r="M476" s="538">
        <v>-3.0482080464772912</v>
      </c>
      <c r="N476" s="538">
        <v>-1.0130905280435032</v>
      </c>
      <c r="O476" s="540">
        <v>-2.9971966023198515</v>
      </c>
      <c r="P476" s="540">
        <v>0</v>
      </c>
      <c r="Q476" s="538">
        <v>0</v>
      </c>
      <c r="R476" s="540">
        <v>0</v>
      </c>
      <c r="S476" s="540">
        <v>0</v>
      </c>
      <c r="T476" s="540">
        <v>0</v>
      </c>
      <c r="U476" s="540">
        <v>-2.4836627457667682</v>
      </c>
      <c r="V476" s="535"/>
    </row>
    <row r="477" spans="1:22">
      <c r="A477" s="530"/>
      <c r="B477" s="508" t="s">
        <v>749</v>
      </c>
      <c r="C477" s="527">
        <v>9.1333257648076212E-3</v>
      </c>
      <c r="D477" s="528">
        <v>2.2570876708522418E-2</v>
      </c>
      <c r="E477" s="528">
        <v>2.0418767945532188E-2</v>
      </c>
      <c r="F477" s="528">
        <v>5.7469492786158004E-2</v>
      </c>
      <c r="G477" s="528">
        <v>4.0682083019273049E-2</v>
      </c>
      <c r="H477" s="528">
        <v>0</v>
      </c>
      <c r="I477" s="528">
        <v>0</v>
      </c>
      <c r="J477" s="529">
        <v>1.5937846813065815E-2</v>
      </c>
      <c r="K477" s="529">
        <v>1.8015252435104118E-2</v>
      </c>
      <c r="L477" s="528">
        <v>0.11885943106769899</v>
      </c>
      <c r="M477" s="528">
        <v>0.23040185793795342</v>
      </c>
      <c r="N477" s="528">
        <v>0.12884682427488345</v>
      </c>
      <c r="O477" s="529">
        <v>0.13230680894910893</v>
      </c>
      <c r="P477" s="529">
        <v>0</v>
      </c>
      <c r="Q477" s="528">
        <v>0</v>
      </c>
      <c r="R477" s="529">
        <v>0</v>
      </c>
      <c r="S477" s="529">
        <v>0</v>
      </c>
      <c r="T477" s="529">
        <v>0</v>
      </c>
      <c r="U477" s="529">
        <v>7.5907728590470916E-2</v>
      </c>
      <c r="V477" s="535"/>
    </row>
    <row r="478" spans="1:22">
      <c r="A478" s="530"/>
      <c r="B478" s="531" t="s">
        <v>750</v>
      </c>
      <c r="C478" s="532">
        <v>9.088192509508132E-3</v>
      </c>
      <c r="D478" s="533">
        <v>2.3777387930146724E-2</v>
      </c>
      <c r="E478" s="533">
        <v>2.0320618681274417E-2</v>
      </c>
      <c r="F478" s="533">
        <v>4.0314702507785606E-2</v>
      </c>
      <c r="G478" s="533">
        <v>4.3175865663405193E-2</v>
      </c>
      <c r="H478" s="533">
        <v>0</v>
      </c>
      <c r="I478" s="533">
        <v>0</v>
      </c>
      <c r="J478" s="534">
        <v>1.5874585486296298E-2</v>
      </c>
      <c r="K478" s="534">
        <v>1.6954708914247964E-2</v>
      </c>
      <c r="L478" s="533">
        <v>0.12789484150021285</v>
      </c>
      <c r="M478" s="533">
        <v>0.23151233019066711</v>
      </c>
      <c r="N478" s="533">
        <v>0.11596788256195302</v>
      </c>
      <c r="O478" s="534">
        <v>0.13840914542250493</v>
      </c>
      <c r="P478" s="534">
        <v>0</v>
      </c>
      <c r="Q478" s="533">
        <v>0</v>
      </c>
      <c r="R478" s="534">
        <v>0</v>
      </c>
      <c r="S478" s="534">
        <v>0</v>
      </c>
      <c r="T478" s="534">
        <v>0</v>
      </c>
      <c r="U478" s="534">
        <v>7.8997667151340961E-2</v>
      </c>
      <c r="V478" s="535"/>
    </row>
    <row r="479" spans="1:22">
      <c r="A479" s="530"/>
      <c r="B479" s="536" t="s">
        <v>751</v>
      </c>
      <c r="C479" s="537">
        <v>-4.5133255299489167E-3</v>
      </c>
      <c r="D479" s="538">
        <v>0.12065112216243061</v>
      </c>
      <c r="E479" s="538">
        <v>-9.814926425777068E-3</v>
      </c>
      <c r="F479" s="538">
        <v>-1.7154790278372398</v>
      </c>
      <c r="G479" s="538">
        <v>0.24937826441321434</v>
      </c>
      <c r="H479" s="538">
        <v>0</v>
      </c>
      <c r="I479" s="538">
        <v>0</v>
      </c>
      <c r="J479" s="540">
        <v>-6.326132676951618E-3</v>
      </c>
      <c r="K479" s="540">
        <v>-0.10605435208561539</v>
      </c>
      <c r="L479" s="538">
        <v>0.90354104325138662</v>
      </c>
      <c r="M479" s="538">
        <v>0.11104722527136845</v>
      </c>
      <c r="N479" s="538">
        <v>-1.2878941712930427</v>
      </c>
      <c r="O479" s="540">
        <v>0.61023364733960028</v>
      </c>
      <c r="P479" s="540">
        <v>0</v>
      </c>
      <c r="Q479" s="538">
        <v>0</v>
      </c>
      <c r="R479" s="540">
        <v>0</v>
      </c>
      <c r="S479" s="540">
        <v>0</v>
      </c>
      <c r="T479" s="540">
        <v>0</v>
      </c>
      <c r="U479" s="540">
        <v>0.30899385608700453</v>
      </c>
      <c r="V479" s="535"/>
    </row>
    <row r="480" spans="1:22">
      <c r="A480" s="530"/>
      <c r="B480" s="508" t="s">
        <v>752</v>
      </c>
      <c r="C480" s="527">
        <v>0.15503064737546646</v>
      </c>
      <c r="D480" s="528">
        <v>0.14081224664934733</v>
      </c>
      <c r="E480" s="528">
        <v>0.21207267211117797</v>
      </c>
      <c r="F480" s="528">
        <v>0.4930207000073713</v>
      </c>
      <c r="G480" s="528">
        <v>0.34772679998479089</v>
      </c>
      <c r="H480" s="528">
        <v>0</v>
      </c>
      <c r="I480" s="528">
        <v>0</v>
      </c>
      <c r="J480" s="529">
        <v>0.18140568467700574</v>
      </c>
      <c r="K480" s="529">
        <v>0.23426636183252028</v>
      </c>
      <c r="L480" s="528">
        <v>0.2741932228307401</v>
      </c>
      <c r="M480" s="528">
        <v>0.26343596422502824</v>
      </c>
      <c r="N480" s="528">
        <v>0.345632827255418</v>
      </c>
      <c r="O480" s="529">
        <v>0.27272976553423245</v>
      </c>
      <c r="P480" s="529">
        <v>0</v>
      </c>
      <c r="Q480" s="528">
        <v>0</v>
      </c>
      <c r="R480" s="529">
        <v>0</v>
      </c>
      <c r="S480" s="529">
        <v>0</v>
      </c>
      <c r="T480" s="529">
        <v>0</v>
      </c>
      <c r="U480" s="529">
        <v>0.22846887259162721</v>
      </c>
      <c r="V480" s="535"/>
    </row>
    <row r="481" spans="1:22">
      <c r="A481" s="530"/>
      <c r="B481" s="531" t="s">
        <v>753</v>
      </c>
      <c r="C481" s="532">
        <v>0.17412018782321684</v>
      </c>
      <c r="D481" s="533">
        <v>0.1553016061817187</v>
      </c>
      <c r="E481" s="533">
        <v>0.23348729836977911</v>
      </c>
      <c r="F481" s="533">
        <v>0.51974430421242424</v>
      </c>
      <c r="G481" s="533">
        <v>0.3758354429270942</v>
      </c>
      <c r="H481" s="533">
        <v>0</v>
      </c>
      <c r="I481" s="533">
        <v>0</v>
      </c>
      <c r="J481" s="534">
        <v>0.20094451491022614</v>
      </c>
      <c r="K481" s="534">
        <v>0.25435304236184253</v>
      </c>
      <c r="L481" s="533">
        <v>0.2977083205834572</v>
      </c>
      <c r="M481" s="533">
        <v>0.29394986684358798</v>
      </c>
      <c r="N481" s="533">
        <v>0.37532239647744225</v>
      </c>
      <c r="O481" s="534">
        <v>0.29762991548190365</v>
      </c>
      <c r="P481" s="534">
        <v>0</v>
      </c>
      <c r="Q481" s="533">
        <v>0</v>
      </c>
      <c r="R481" s="534">
        <v>0</v>
      </c>
      <c r="S481" s="534">
        <v>0</v>
      </c>
      <c r="T481" s="534">
        <v>0</v>
      </c>
      <c r="U481" s="534">
        <v>0.25075152804416007</v>
      </c>
      <c r="V481" s="535"/>
    </row>
    <row r="482" spans="1:22">
      <c r="A482" s="530"/>
      <c r="B482" s="536" t="s">
        <v>754</v>
      </c>
      <c r="C482" s="537">
        <v>1.9089540447750379</v>
      </c>
      <c r="D482" s="538">
        <v>1.4489359532371378</v>
      </c>
      <c r="E482" s="538">
        <v>2.1414626258601133</v>
      </c>
      <c r="F482" s="538">
        <v>2.6723604205052931</v>
      </c>
      <c r="G482" s="538">
        <v>2.8108642942303308</v>
      </c>
      <c r="H482" s="538">
        <v>0</v>
      </c>
      <c r="I482" s="538">
        <v>0</v>
      </c>
      <c r="J482" s="540">
        <v>1.9538830233220394</v>
      </c>
      <c r="K482" s="540">
        <v>2.0086680529322249</v>
      </c>
      <c r="L482" s="538">
        <v>2.3515097752717096</v>
      </c>
      <c r="M482" s="538">
        <v>3.0513902618559738</v>
      </c>
      <c r="N482" s="538">
        <v>2.9689569222024259</v>
      </c>
      <c r="O482" s="540">
        <v>2.4900149947671202</v>
      </c>
      <c r="P482" s="540">
        <v>0</v>
      </c>
      <c r="Q482" s="538">
        <v>0</v>
      </c>
      <c r="R482" s="540">
        <v>0</v>
      </c>
      <c r="S482" s="540">
        <v>0</v>
      </c>
      <c r="T482" s="540">
        <v>0</v>
      </c>
      <c r="U482" s="540">
        <v>2.2282655452532856</v>
      </c>
      <c r="V482" s="535"/>
    </row>
    <row r="483" spans="1:22">
      <c r="A483" s="530"/>
      <c r="B483" s="508" t="s">
        <v>755</v>
      </c>
      <c r="C483" s="527">
        <v>5.2520267525296765E-3</v>
      </c>
      <c r="D483" s="528">
        <v>2.5450329440375533E-4</v>
      </c>
      <c r="E483" s="528">
        <v>5.7877232759150328E-3</v>
      </c>
      <c r="F483" s="528">
        <v>2.3320176643636874E-2</v>
      </c>
      <c r="G483" s="528">
        <v>1.1883221017175091E-2</v>
      </c>
      <c r="H483" s="528">
        <v>0</v>
      </c>
      <c r="I483" s="528">
        <v>0</v>
      </c>
      <c r="J483" s="529">
        <v>5.229277156433996E-3</v>
      </c>
      <c r="K483" s="529">
        <v>6.3005108488855275E-4</v>
      </c>
      <c r="L483" s="528">
        <v>3.707676006339107E-4</v>
      </c>
      <c r="M483" s="528">
        <v>2.0701271524167099E-2</v>
      </c>
      <c r="N483" s="528">
        <v>1.2853076501664579E-2</v>
      </c>
      <c r="O483" s="529">
        <v>4.3061571815023805E-3</v>
      </c>
      <c r="P483" s="529">
        <v>0</v>
      </c>
      <c r="Q483" s="528">
        <v>0</v>
      </c>
      <c r="R483" s="529">
        <v>0</v>
      </c>
      <c r="S483" s="529">
        <v>0</v>
      </c>
      <c r="T483" s="529">
        <v>0</v>
      </c>
      <c r="U483" s="529">
        <v>4.7535541221571127E-3</v>
      </c>
      <c r="V483" s="535"/>
    </row>
    <row r="484" spans="1:22">
      <c r="A484" s="530"/>
      <c r="B484" s="531" t="s">
        <v>756</v>
      </c>
      <c r="C484" s="532">
        <v>5.0605715154604597E-3</v>
      </c>
      <c r="D484" s="533">
        <v>2.5287962868739632E-4</v>
      </c>
      <c r="E484" s="533">
        <v>7.2678841195530901E-3</v>
      </c>
      <c r="F484" s="533">
        <v>2.1026061301425997E-2</v>
      </c>
      <c r="G484" s="533">
        <v>8.869053354473069E-3</v>
      </c>
      <c r="H484" s="533">
        <v>0</v>
      </c>
      <c r="I484" s="533">
        <v>0</v>
      </c>
      <c r="J484" s="534">
        <v>5.463094825715561E-3</v>
      </c>
      <c r="K484" s="534">
        <v>7.4913836623018864E-4</v>
      </c>
      <c r="L484" s="533">
        <v>4.7910936371874281E-4</v>
      </c>
      <c r="M484" s="533">
        <v>2.1246635124351248E-2</v>
      </c>
      <c r="N484" s="533">
        <v>9.1401909389717609E-3</v>
      </c>
      <c r="O484" s="534">
        <v>4.284091925917285E-3</v>
      </c>
      <c r="P484" s="534">
        <v>0</v>
      </c>
      <c r="Q484" s="533">
        <v>0</v>
      </c>
      <c r="R484" s="534">
        <v>0</v>
      </c>
      <c r="S484" s="534">
        <v>0</v>
      </c>
      <c r="T484" s="534">
        <v>0</v>
      </c>
      <c r="U484" s="534">
        <v>4.8557372250024626E-3</v>
      </c>
      <c r="V484" s="535"/>
    </row>
    <row r="485" spans="1:22">
      <c r="A485" s="530"/>
      <c r="B485" s="536" t="s">
        <v>757</v>
      </c>
      <c r="C485" s="537">
        <v>-1.9145523706921679E-2</v>
      </c>
      <c r="D485" s="538">
        <v>-1.6236657163590132E-4</v>
      </c>
      <c r="E485" s="538">
        <v>0.14801608436380573</v>
      </c>
      <c r="F485" s="538">
        <v>-0.2294115342210877</v>
      </c>
      <c r="G485" s="538">
        <v>-0.30141676627020214</v>
      </c>
      <c r="H485" s="538">
        <v>0</v>
      </c>
      <c r="I485" s="538">
        <v>0</v>
      </c>
      <c r="J485" s="540">
        <v>2.3381766928156494E-2</v>
      </c>
      <c r="K485" s="540">
        <v>1.190872813416359E-2</v>
      </c>
      <c r="L485" s="538">
        <v>1.083417630848321E-2</v>
      </c>
      <c r="M485" s="538">
        <v>5.4536360018414901E-2</v>
      </c>
      <c r="N485" s="538">
        <v>-0.37128855626928187</v>
      </c>
      <c r="O485" s="540">
        <v>-2.2065255585095554E-3</v>
      </c>
      <c r="P485" s="540">
        <v>0</v>
      </c>
      <c r="Q485" s="538">
        <v>0</v>
      </c>
      <c r="R485" s="540">
        <v>0</v>
      </c>
      <c r="S485" s="540">
        <v>0</v>
      </c>
      <c r="T485" s="540">
        <v>0</v>
      </c>
      <c r="U485" s="540">
        <v>1.0218310284534991E-2</v>
      </c>
      <c r="V485" s="535"/>
    </row>
    <row r="486" spans="1:22">
      <c r="A486" s="530"/>
      <c r="B486" s="508" t="s">
        <v>758</v>
      </c>
      <c r="C486" s="527">
        <v>1.7709466679565555E-3</v>
      </c>
      <c r="D486" s="528">
        <v>2.7663401565625579E-5</v>
      </c>
      <c r="E486" s="528">
        <v>6.441824584882537E-3</v>
      </c>
      <c r="F486" s="528">
        <v>0</v>
      </c>
      <c r="G486" s="528">
        <v>1.3846983120145113E-2</v>
      </c>
      <c r="H486" s="528">
        <v>0</v>
      </c>
      <c r="I486" s="528">
        <v>0</v>
      </c>
      <c r="J486" s="529">
        <v>3.3956017196647668E-3</v>
      </c>
      <c r="K486" s="529">
        <v>1.050043880768093E-2</v>
      </c>
      <c r="L486" s="528">
        <v>2.8415064530611548E-5</v>
      </c>
      <c r="M486" s="528">
        <v>2.711612620954203E-3</v>
      </c>
      <c r="N486" s="528">
        <v>6.5510464434713651E-3</v>
      </c>
      <c r="O486" s="529">
        <v>1.3378652869191696E-3</v>
      </c>
      <c r="P486" s="529">
        <v>0</v>
      </c>
      <c r="Q486" s="528">
        <v>0</v>
      </c>
      <c r="R486" s="529">
        <v>0</v>
      </c>
      <c r="S486" s="529">
        <v>0</v>
      </c>
      <c r="T486" s="529">
        <v>0</v>
      </c>
      <c r="U486" s="529">
        <v>2.3351625068740974E-3</v>
      </c>
      <c r="V486" s="535"/>
    </row>
    <row r="487" spans="1:22">
      <c r="A487" s="530"/>
      <c r="B487" s="531" t="s">
        <v>759</v>
      </c>
      <c r="C487" s="532">
        <v>1.5880113716019494E-3</v>
      </c>
      <c r="D487" s="533">
        <v>4.9966577234618064E-5</v>
      </c>
      <c r="E487" s="533">
        <v>6.1968581620961633E-3</v>
      </c>
      <c r="F487" s="533">
        <v>0</v>
      </c>
      <c r="G487" s="533">
        <v>1.1781606678287681E-2</v>
      </c>
      <c r="H487" s="533">
        <v>0</v>
      </c>
      <c r="I487" s="533">
        <v>0</v>
      </c>
      <c r="J487" s="534">
        <v>3.1500535680398629E-3</v>
      </c>
      <c r="K487" s="534">
        <v>0</v>
      </c>
      <c r="L487" s="533">
        <v>2.8025895927837321E-5</v>
      </c>
      <c r="M487" s="533">
        <v>1.0239546142695268E-3</v>
      </c>
      <c r="N487" s="533">
        <v>3.58420977750539E-3</v>
      </c>
      <c r="O487" s="534">
        <v>3.2941014463562371E-4</v>
      </c>
      <c r="P487" s="534">
        <v>0</v>
      </c>
      <c r="Q487" s="533">
        <v>0</v>
      </c>
      <c r="R487" s="534">
        <v>0</v>
      </c>
      <c r="S487" s="534">
        <v>0</v>
      </c>
      <c r="T487" s="534">
        <v>0</v>
      </c>
      <c r="U487" s="534">
        <v>1.6970128482934634E-3</v>
      </c>
      <c r="V487" s="535"/>
    </row>
    <row r="488" spans="1:22">
      <c r="A488" s="530"/>
      <c r="B488" s="536" t="s">
        <v>760</v>
      </c>
      <c r="C488" s="537">
        <v>-1.8293529635460617E-2</v>
      </c>
      <c r="D488" s="538">
        <v>2.2303175668992484E-3</v>
      </c>
      <c r="E488" s="538">
        <v>-2.4496642278637373E-2</v>
      </c>
      <c r="F488" s="538">
        <v>0</v>
      </c>
      <c r="G488" s="538">
        <v>-0.20653764418574316</v>
      </c>
      <c r="H488" s="538">
        <v>0</v>
      </c>
      <c r="I488" s="538">
        <v>0</v>
      </c>
      <c r="J488" s="540">
        <v>-2.4554815162490397E-2</v>
      </c>
      <c r="K488" s="540">
        <v>-1.050043880768093</v>
      </c>
      <c r="L488" s="538">
        <v>-3.8916860277422776E-5</v>
      </c>
      <c r="M488" s="538">
        <v>-0.16876580066846761</v>
      </c>
      <c r="N488" s="538">
        <v>-0.29668366659659751</v>
      </c>
      <c r="O488" s="540">
        <v>-0.10084551422835457</v>
      </c>
      <c r="P488" s="540">
        <v>0</v>
      </c>
      <c r="Q488" s="538">
        <v>0</v>
      </c>
      <c r="R488" s="540">
        <v>0</v>
      </c>
      <c r="S488" s="540">
        <v>0</v>
      </c>
      <c r="T488" s="540">
        <v>0</v>
      </c>
      <c r="U488" s="540">
        <v>-6.3814965858063399E-2</v>
      </c>
      <c r="V488" s="535"/>
    </row>
    <row r="489" spans="1:22">
      <c r="A489" s="530"/>
      <c r="B489" s="508" t="s">
        <v>761</v>
      </c>
      <c r="C489" s="527">
        <v>0</v>
      </c>
      <c r="D489" s="528">
        <v>0</v>
      </c>
      <c r="E489" s="528">
        <v>0</v>
      </c>
      <c r="F489" s="528">
        <v>0</v>
      </c>
      <c r="G489" s="528">
        <v>0</v>
      </c>
      <c r="H489" s="528">
        <v>0</v>
      </c>
      <c r="I489" s="528">
        <v>0</v>
      </c>
      <c r="J489" s="529">
        <v>0</v>
      </c>
      <c r="K489" s="529">
        <v>0</v>
      </c>
      <c r="L489" s="528">
        <v>0</v>
      </c>
      <c r="M489" s="528">
        <v>0</v>
      </c>
      <c r="N489" s="528">
        <v>0</v>
      </c>
      <c r="O489" s="529">
        <v>0</v>
      </c>
      <c r="P489" s="529">
        <v>0</v>
      </c>
      <c r="Q489" s="528">
        <v>0</v>
      </c>
      <c r="R489" s="529">
        <v>0</v>
      </c>
      <c r="S489" s="529">
        <v>0</v>
      </c>
      <c r="T489" s="529">
        <v>0</v>
      </c>
      <c r="U489" s="529">
        <v>0</v>
      </c>
      <c r="V489" s="535"/>
    </row>
    <row r="490" spans="1:22">
      <c r="A490" s="530"/>
      <c r="B490" s="531" t="s">
        <v>762</v>
      </c>
      <c r="C490" s="532">
        <v>0</v>
      </c>
      <c r="D490" s="533">
        <v>0</v>
      </c>
      <c r="E490" s="533">
        <v>0</v>
      </c>
      <c r="F490" s="533">
        <v>0</v>
      </c>
      <c r="G490" s="533">
        <v>0</v>
      </c>
      <c r="H490" s="533">
        <v>0</v>
      </c>
      <c r="I490" s="533">
        <v>0</v>
      </c>
      <c r="J490" s="534">
        <v>0</v>
      </c>
      <c r="K490" s="534">
        <v>0</v>
      </c>
      <c r="L490" s="533">
        <v>0</v>
      </c>
      <c r="M490" s="533">
        <v>0</v>
      </c>
      <c r="N490" s="533">
        <v>0</v>
      </c>
      <c r="O490" s="534">
        <v>0</v>
      </c>
      <c r="P490" s="534">
        <v>0</v>
      </c>
      <c r="Q490" s="533">
        <v>0</v>
      </c>
      <c r="R490" s="534">
        <v>0</v>
      </c>
      <c r="S490" s="534">
        <v>0</v>
      </c>
      <c r="T490" s="534">
        <v>0</v>
      </c>
      <c r="U490" s="534">
        <v>0</v>
      </c>
      <c r="V490" s="535"/>
    </row>
    <row r="491" spans="1:22" ht="15.75" thickBot="1">
      <c r="A491" s="530"/>
      <c r="B491" s="542" t="s">
        <v>763</v>
      </c>
      <c r="C491" s="543">
        <v>0</v>
      </c>
      <c r="D491" s="544">
        <v>0</v>
      </c>
      <c r="E491" s="544">
        <v>0</v>
      </c>
      <c r="F491" s="544">
        <v>0</v>
      </c>
      <c r="G491" s="544">
        <v>0</v>
      </c>
      <c r="H491" s="544">
        <v>0</v>
      </c>
      <c r="I491" s="544">
        <v>0</v>
      </c>
      <c r="J491" s="545">
        <v>0</v>
      </c>
      <c r="K491" s="545">
        <v>0</v>
      </c>
      <c r="L491" s="544">
        <v>0</v>
      </c>
      <c r="M491" s="544">
        <v>0</v>
      </c>
      <c r="N491" s="544">
        <v>0</v>
      </c>
      <c r="O491" s="545">
        <v>0</v>
      </c>
      <c r="P491" s="545">
        <v>0</v>
      </c>
      <c r="Q491" s="544">
        <v>0</v>
      </c>
      <c r="R491" s="545">
        <v>0</v>
      </c>
      <c r="S491" s="545">
        <v>0</v>
      </c>
      <c r="T491" s="545">
        <v>0</v>
      </c>
      <c r="U491" s="545">
        <v>0</v>
      </c>
      <c r="V491" s="535"/>
    </row>
    <row r="492" spans="1:22" ht="15.75" thickTop="1">
      <c r="A492" s="530"/>
      <c r="B492" s="531" t="s">
        <v>764</v>
      </c>
      <c r="C492" s="532">
        <v>0.77972733493586932</v>
      </c>
      <c r="D492" s="533">
        <v>0.57493642371285514</v>
      </c>
      <c r="E492" s="533">
        <v>0.35812079334132091</v>
      </c>
      <c r="F492" s="533">
        <v>0.22193548387096773</v>
      </c>
      <c r="G492" s="533">
        <v>0.22969046369910004</v>
      </c>
      <c r="H492" s="533">
        <v>0</v>
      </c>
      <c r="I492" s="533">
        <v>0</v>
      </c>
      <c r="J492" s="534">
        <v>0.61378842648937648</v>
      </c>
      <c r="K492" s="534">
        <v>0</v>
      </c>
      <c r="L492" s="533">
        <v>0</v>
      </c>
      <c r="M492" s="533">
        <v>0</v>
      </c>
      <c r="N492" s="533">
        <v>0.13947449768160741</v>
      </c>
      <c r="O492" s="534">
        <v>0.13947449768160741</v>
      </c>
      <c r="P492" s="534">
        <v>0</v>
      </c>
      <c r="Q492" s="533">
        <v>0</v>
      </c>
      <c r="R492" s="534">
        <v>0</v>
      </c>
      <c r="S492" s="534">
        <v>0</v>
      </c>
      <c r="T492" s="534">
        <v>0</v>
      </c>
      <c r="U492" s="534">
        <v>0.61049333059029331</v>
      </c>
      <c r="V492" s="535"/>
    </row>
    <row r="493" spans="1:22">
      <c r="A493" s="530"/>
      <c r="B493" s="531" t="s">
        <v>765</v>
      </c>
      <c r="C493" s="532">
        <v>0.76488572798219367</v>
      </c>
      <c r="D493" s="533">
        <v>0.56228988823374104</v>
      </c>
      <c r="E493" s="533">
        <v>0.33054583007984684</v>
      </c>
      <c r="F493" s="533">
        <v>0.17068727227038571</v>
      </c>
      <c r="G493" s="533">
        <v>0.17587397039828911</v>
      </c>
      <c r="H493" s="533">
        <v>0</v>
      </c>
      <c r="I493" s="533">
        <v>0</v>
      </c>
      <c r="J493" s="534">
        <v>0.59553054778085257</v>
      </c>
      <c r="K493" s="534">
        <v>0</v>
      </c>
      <c r="L493" s="533">
        <v>0</v>
      </c>
      <c r="M493" s="533">
        <v>0</v>
      </c>
      <c r="N493" s="533">
        <v>0.10859644795263937</v>
      </c>
      <c r="O493" s="534">
        <v>0.10859644795263937</v>
      </c>
      <c r="P493" s="534">
        <v>0</v>
      </c>
      <c r="Q493" s="533">
        <v>0</v>
      </c>
      <c r="R493" s="534">
        <v>0</v>
      </c>
      <c r="S493" s="534">
        <v>0</v>
      </c>
      <c r="T493" s="534">
        <v>0</v>
      </c>
      <c r="U493" s="534">
        <v>0.59208993217352357</v>
      </c>
      <c r="V493" s="535"/>
    </row>
    <row r="494" spans="1:22">
      <c r="A494" s="530"/>
      <c r="B494" s="536" t="s">
        <v>766</v>
      </c>
      <c r="C494" s="537">
        <v>-1.4841606953675646</v>
      </c>
      <c r="D494" s="538">
        <v>-1.2646535479114096</v>
      </c>
      <c r="E494" s="538">
        <v>-2.7574963261474075</v>
      </c>
      <c r="F494" s="538">
        <v>-5.1248211600582021</v>
      </c>
      <c r="G494" s="538">
        <v>-5.3816493300810926</v>
      </c>
      <c r="H494" s="538">
        <v>0</v>
      </c>
      <c r="I494" s="538">
        <v>0</v>
      </c>
      <c r="J494" s="540">
        <v>-1.8257878708523911</v>
      </c>
      <c r="K494" s="540">
        <v>0</v>
      </c>
      <c r="L494" s="538">
        <v>0</v>
      </c>
      <c r="M494" s="538">
        <v>0</v>
      </c>
      <c r="N494" s="538">
        <v>-3.0878049728968042</v>
      </c>
      <c r="O494" s="540">
        <v>-3.0878049728968042</v>
      </c>
      <c r="P494" s="540">
        <v>0</v>
      </c>
      <c r="Q494" s="538">
        <v>0</v>
      </c>
      <c r="R494" s="540">
        <v>0</v>
      </c>
      <c r="S494" s="540">
        <v>0</v>
      </c>
      <c r="T494" s="540">
        <v>0</v>
      </c>
      <c r="U494" s="540">
        <v>-1.8403398416769745</v>
      </c>
      <c r="V494" s="535"/>
    </row>
    <row r="495" spans="1:22">
      <c r="A495" s="530"/>
      <c r="B495" s="508" t="s">
        <v>767</v>
      </c>
      <c r="C495" s="527">
        <v>1.5341319567086424E-2</v>
      </c>
      <c r="D495" s="528">
        <v>5.3958448826588526E-2</v>
      </c>
      <c r="E495" s="528">
        <v>2.7828804076836695E-2</v>
      </c>
      <c r="F495" s="528">
        <v>6.9400921658986175E-2</v>
      </c>
      <c r="G495" s="528">
        <v>4.5199564147060008E-3</v>
      </c>
      <c r="H495" s="528">
        <v>0</v>
      </c>
      <c r="I495" s="528">
        <v>0</v>
      </c>
      <c r="J495" s="529">
        <v>2.3403406884179259E-2</v>
      </c>
      <c r="K495" s="529">
        <v>0</v>
      </c>
      <c r="L495" s="528">
        <v>0</v>
      </c>
      <c r="M495" s="528">
        <v>0</v>
      </c>
      <c r="N495" s="528">
        <v>0.60649149922720247</v>
      </c>
      <c r="O495" s="529">
        <v>0.60649149922720247</v>
      </c>
      <c r="P495" s="529">
        <v>0</v>
      </c>
      <c r="Q495" s="528">
        <v>0</v>
      </c>
      <c r="R495" s="529">
        <v>0</v>
      </c>
      <c r="S495" s="529">
        <v>0</v>
      </c>
      <c r="T495" s="529">
        <v>0</v>
      </c>
      <c r="U495" s="529">
        <v>2.7454165390709256E-2</v>
      </c>
      <c r="V495" s="535"/>
    </row>
    <row r="496" spans="1:22">
      <c r="A496" s="530"/>
      <c r="B496" s="531" t="s">
        <v>768</v>
      </c>
      <c r="C496" s="532">
        <v>1.5830223549885242E-2</v>
      </c>
      <c r="D496" s="533">
        <v>5.7326410278975622E-2</v>
      </c>
      <c r="E496" s="533">
        <v>2.7886391956344261E-2</v>
      </c>
      <c r="F496" s="533">
        <v>5.2581982661138331E-2</v>
      </c>
      <c r="G496" s="533">
        <v>4.2560399771317259E-3</v>
      </c>
      <c r="H496" s="533">
        <v>0</v>
      </c>
      <c r="I496" s="533">
        <v>0</v>
      </c>
      <c r="J496" s="534">
        <v>2.3812971803061141E-2</v>
      </c>
      <c r="K496" s="534">
        <v>0</v>
      </c>
      <c r="L496" s="533">
        <v>0</v>
      </c>
      <c r="M496" s="533">
        <v>0</v>
      </c>
      <c r="N496" s="533">
        <v>0.57307597434632462</v>
      </c>
      <c r="O496" s="534">
        <v>0.57307597434632462</v>
      </c>
      <c r="P496" s="534">
        <v>0</v>
      </c>
      <c r="Q496" s="533">
        <v>0</v>
      </c>
      <c r="R496" s="534">
        <v>0</v>
      </c>
      <c r="S496" s="534">
        <v>0</v>
      </c>
      <c r="T496" s="534">
        <v>0</v>
      </c>
      <c r="U496" s="534">
        <v>2.769399566182449E-2</v>
      </c>
      <c r="V496" s="535"/>
    </row>
    <row r="497" spans="1:22">
      <c r="A497" s="530"/>
      <c r="B497" s="536" t="s">
        <v>769</v>
      </c>
      <c r="C497" s="537">
        <v>4.8890398279881862E-2</v>
      </c>
      <c r="D497" s="538">
        <v>0.3367961452387096</v>
      </c>
      <c r="E497" s="538">
        <v>5.7587879507565304E-3</v>
      </c>
      <c r="F497" s="538">
        <v>-1.6818938997847845</v>
      </c>
      <c r="G497" s="538">
        <v>-2.6391643757427488E-2</v>
      </c>
      <c r="H497" s="538">
        <v>0</v>
      </c>
      <c r="I497" s="538">
        <v>0</v>
      </c>
      <c r="J497" s="540">
        <v>4.0956491888188146E-2</v>
      </c>
      <c r="K497" s="540">
        <v>0</v>
      </c>
      <c r="L497" s="538">
        <v>0</v>
      </c>
      <c r="M497" s="538">
        <v>0</v>
      </c>
      <c r="N497" s="538">
        <v>-3.3415524880877845</v>
      </c>
      <c r="O497" s="540">
        <v>-3.3415524880877845</v>
      </c>
      <c r="P497" s="540">
        <v>0</v>
      </c>
      <c r="Q497" s="538">
        <v>0</v>
      </c>
      <c r="R497" s="540">
        <v>0</v>
      </c>
      <c r="S497" s="540">
        <v>0</v>
      </c>
      <c r="T497" s="540">
        <v>0</v>
      </c>
      <c r="U497" s="540">
        <v>2.3983027111523433E-2</v>
      </c>
      <c r="V497" s="535"/>
    </row>
    <row r="498" spans="1:22">
      <c r="A498" s="530"/>
      <c r="B498" s="508" t="s">
        <v>770</v>
      </c>
      <c r="C498" s="527">
        <v>0.19933721837693263</v>
      </c>
      <c r="D498" s="528">
        <v>0.36109131226736357</v>
      </c>
      <c r="E498" s="528">
        <v>0.59610584628903507</v>
      </c>
      <c r="F498" s="528">
        <v>0.73907834101382486</v>
      </c>
      <c r="G498" s="528">
        <v>0.67801364058275149</v>
      </c>
      <c r="H498" s="528">
        <v>0</v>
      </c>
      <c r="I498" s="528">
        <v>0</v>
      </c>
      <c r="J498" s="529">
        <v>0.35182916966172495</v>
      </c>
      <c r="K498" s="529">
        <v>0</v>
      </c>
      <c r="L498" s="528">
        <v>0</v>
      </c>
      <c r="M498" s="528">
        <v>0</v>
      </c>
      <c r="N498" s="528">
        <v>0.25403400309119012</v>
      </c>
      <c r="O498" s="529">
        <v>0.25403400309119012</v>
      </c>
      <c r="P498" s="529">
        <v>0</v>
      </c>
      <c r="Q498" s="528">
        <v>0</v>
      </c>
      <c r="R498" s="529">
        <v>0</v>
      </c>
      <c r="S498" s="529">
        <v>0</v>
      </c>
      <c r="T498" s="529">
        <v>0</v>
      </c>
      <c r="U498" s="529">
        <v>0.35114977900346045</v>
      </c>
      <c r="V498" s="535"/>
    </row>
    <row r="499" spans="1:22">
      <c r="A499" s="530"/>
      <c r="B499" s="531" t="s">
        <v>771</v>
      </c>
      <c r="C499" s="532">
        <v>0.21413806976088193</v>
      </c>
      <c r="D499" s="533">
        <v>0.3722916483323066</v>
      </c>
      <c r="E499" s="533">
        <v>0.62329293824277654</v>
      </c>
      <c r="F499" s="533">
        <v>0.7405452946350044</v>
      </c>
      <c r="G499" s="533">
        <v>0.72140936328794969</v>
      </c>
      <c r="H499" s="533">
        <v>0</v>
      </c>
      <c r="I499" s="533">
        <v>0</v>
      </c>
      <c r="J499" s="534">
        <v>0.36896063557429093</v>
      </c>
      <c r="K499" s="534">
        <v>0</v>
      </c>
      <c r="L499" s="533">
        <v>0</v>
      </c>
      <c r="M499" s="533">
        <v>0</v>
      </c>
      <c r="N499" s="533">
        <v>0.31832757770103604</v>
      </c>
      <c r="O499" s="534">
        <v>0.31832757770103604</v>
      </c>
      <c r="P499" s="534">
        <v>0</v>
      </c>
      <c r="Q499" s="533">
        <v>0</v>
      </c>
      <c r="R499" s="534">
        <v>0</v>
      </c>
      <c r="S499" s="534">
        <v>0</v>
      </c>
      <c r="T499" s="534">
        <v>0</v>
      </c>
      <c r="U499" s="534">
        <v>0.36860286870352343</v>
      </c>
      <c r="V499" s="535"/>
    </row>
    <row r="500" spans="1:22">
      <c r="A500" s="530"/>
      <c r="B500" s="536" t="s">
        <v>772</v>
      </c>
      <c r="C500" s="537">
        <v>1.4800851383949292</v>
      </c>
      <c r="D500" s="538">
        <v>1.1200336064943028</v>
      </c>
      <c r="E500" s="538">
        <v>2.7187091953741471</v>
      </c>
      <c r="F500" s="538">
        <v>0.14669536211795453</v>
      </c>
      <c r="G500" s="538">
        <v>4.3395722705198203</v>
      </c>
      <c r="H500" s="538">
        <v>0</v>
      </c>
      <c r="I500" s="538">
        <v>0</v>
      </c>
      <c r="J500" s="540">
        <v>1.713146591256598</v>
      </c>
      <c r="K500" s="540">
        <v>0</v>
      </c>
      <c r="L500" s="538">
        <v>0</v>
      </c>
      <c r="M500" s="538">
        <v>0</v>
      </c>
      <c r="N500" s="538">
        <v>6.4293574609845914</v>
      </c>
      <c r="O500" s="540">
        <v>6.4293574609845914</v>
      </c>
      <c r="P500" s="540">
        <v>0</v>
      </c>
      <c r="Q500" s="538">
        <v>0</v>
      </c>
      <c r="R500" s="540">
        <v>0</v>
      </c>
      <c r="S500" s="540">
        <v>0</v>
      </c>
      <c r="T500" s="540">
        <v>0</v>
      </c>
      <c r="U500" s="540">
        <v>1.7453089700062985</v>
      </c>
      <c r="V500" s="535"/>
    </row>
    <row r="501" spans="1:22">
      <c r="A501" s="530"/>
      <c r="B501" s="508" t="s">
        <v>773</v>
      </c>
      <c r="C501" s="527">
        <v>1.4669993797865337E-3</v>
      </c>
      <c r="D501" s="528">
        <v>8.2627174573004936E-3</v>
      </c>
      <c r="E501" s="528">
        <v>5.7536467945929308E-3</v>
      </c>
      <c r="F501" s="528">
        <v>2.1198156682027649E-2</v>
      </c>
      <c r="G501" s="528">
        <v>3.147826788813108E-3</v>
      </c>
      <c r="H501" s="528">
        <v>0</v>
      </c>
      <c r="I501" s="528">
        <v>0</v>
      </c>
      <c r="J501" s="529">
        <v>3.7316047197793216E-3</v>
      </c>
      <c r="K501" s="529">
        <v>0</v>
      </c>
      <c r="L501" s="528">
        <v>0</v>
      </c>
      <c r="M501" s="528">
        <v>0</v>
      </c>
      <c r="N501" s="528">
        <v>0</v>
      </c>
      <c r="O501" s="529">
        <v>0</v>
      </c>
      <c r="P501" s="529">
        <v>0</v>
      </c>
      <c r="Q501" s="528">
        <v>0</v>
      </c>
      <c r="R501" s="529">
        <v>0</v>
      </c>
      <c r="S501" s="529">
        <v>0</v>
      </c>
      <c r="T501" s="529">
        <v>0</v>
      </c>
      <c r="U501" s="529">
        <v>3.7056809704176879E-3</v>
      </c>
      <c r="V501" s="535"/>
    </row>
    <row r="502" spans="1:22">
      <c r="A502" s="530"/>
      <c r="B502" s="531" t="s">
        <v>774</v>
      </c>
      <c r="C502" s="532">
        <v>1.4951623021800082E-3</v>
      </c>
      <c r="D502" s="533">
        <v>6.3847575464225995E-3</v>
      </c>
      <c r="E502" s="533">
        <v>7.1371739043467565E-3</v>
      </c>
      <c r="F502" s="533">
        <v>3.6185450433471544E-2</v>
      </c>
      <c r="G502" s="533">
        <v>4.2560399771317259E-3</v>
      </c>
      <c r="H502" s="533">
        <v>0</v>
      </c>
      <c r="I502" s="533">
        <v>0</v>
      </c>
      <c r="J502" s="534">
        <v>4.1957066085999478E-3</v>
      </c>
      <c r="K502" s="534">
        <v>0</v>
      </c>
      <c r="L502" s="533">
        <v>0</v>
      </c>
      <c r="M502" s="533">
        <v>0</v>
      </c>
      <c r="N502" s="533">
        <v>0</v>
      </c>
      <c r="O502" s="534">
        <v>0</v>
      </c>
      <c r="P502" s="534">
        <v>0</v>
      </c>
      <c r="Q502" s="533">
        <v>0</v>
      </c>
      <c r="R502" s="534">
        <v>0</v>
      </c>
      <c r="S502" s="534">
        <v>0</v>
      </c>
      <c r="T502" s="534">
        <v>0</v>
      </c>
      <c r="U502" s="534">
        <v>4.1660602690923735E-3</v>
      </c>
      <c r="V502" s="535"/>
    </row>
    <row r="503" spans="1:22">
      <c r="A503" s="530"/>
      <c r="B503" s="536" t="s">
        <v>775</v>
      </c>
      <c r="C503" s="537">
        <v>2.8162922393474513E-3</v>
      </c>
      <c r="D503" s="538">
        <v>-0.18779599108778941</v>
      </c>
      <c r="E503" s="538">
        <v>0.13835271097538257</v>
      </c>
      <c r="F503" s="538">
        <v>1.4987293751443895</v>
      </c>
      <c r="G503" s="538">
        <v>0.11082131883186179</v>
      </c>
      <c r="H503" s="538">
        <v>0</v>
      </c>
      <c r="I503" s="538">
        <v>0</v>
      </c>
      <c r="J503" s="540">
        <v>4.6410188882062622E-2</v>
      </c>
      <c r="K503" s="540">
        <v>0</v>
      </c>
      <c r="L503" s="538">
        <v>0</v>
      </c>
      <c r="M503" s="538">
        <v>0</v>
      </c>
      <c r="N503" s="538">
        <v>0</v>
      </c>
      <c r="O503" s="540">
        <v>0</v>
      </c>
      <c r="P503" s="540">
        <v>0</v>
      </c>
      <c r="Q503" s="538">
        <v>0</v>
      </c>
      <c r="R503" s="540">
        <v>0</v>
      </c>
      <c r="S503" s="540">
        <v>0</v>
      </c>
      <c r="T503" s="540">
        <v>0</v>
      </c>
      <c r="U503" s="540">
        <v>4.6037929867468561E-2</v>
      </c>
      <c r="V503" s="535"/>
    </row>
    <row r="504" spans="1:22">
      <c r="A504" s="530"/>
      <c r="B504" s="508" t="s">
        <v>776</v>
      </c>
      <c r="C504" s="527">
        <v>4.1271277403250898E-3</v>
      </c>
      <c r="D504" s="528">
        <v>1.751097735892224E-3</v>
      </c>
      <c r="E504" s="528">
        <v>1.219090949821436E-2</v>
      </c>
      <c r="F504" s="528">
        <v>0</v>
      </c>
      <c r="G504" s="528">
        <v>5.0728439404334316E-2</v>
      </c>
      <c r="H504" s="528">
        <v>0</v>
      </c>
      <c r="I504" s="528">
        <v>0</v>
      </c>
      <c r="J504" s="529">
        <v>7.2473922449399738E-3</v>
      </c>
      <c r="K504" s="529">
        <v>0</v>
      </c>
      <c r="L504" s="528">
        <v>0</v>
      </c>
      <c r="M504" s="528">
        <v>0</v>
      </c>
      <c r="N504" s="528">
        <v>0</v>
      </c>
      <c r="O504" s="529">
        <v>0</v>
      </c>
      <c r="P504" s="529">
        <v>0</v>
      </c>
      <c r="Q504" s="528">
        <v>0</v>
      </c>
      <c r="R504" s="529">
        <v>0</v>
      </c>
      <c r="S504" s="529">
        <v>0</v>
      </c>
      <c r="T504" s="529">
        <v>0</v>
      </c>
      <c r="U504" s="529">
        <v>7.1970440451192856E-3</v>
      </c>
      <c r="V504" s="535"/>
    </row>
    <row r="505" spans="1:22">
      <c r="A505" s="530"/>
      <c r="B505" s="531" t="s">
        <v>777</v>
      </c>
      <c r="C505" s="532">
        <v>3.6508164048591235E-3</v>
      </c>
      <c r="D505" s="533">
        <v>1.707295608554079E-3</v>
      </c>
      <c r="E505" s="533">
        <v>1.1137665816685608E-2</v>
      </c>
      <c r="F505" s="533">
        <v>0</v>
      </c>
      <c r="G505" s="533">
        <v>9.4204586359497744E-2</v>
      </c>
      <c r="H505" s="533">
        <v>0</v>
      </c>
      <c r="I505" s="533">
        <v>0</v>
      </c>
      <c r="J505" s="534">
        <v>7.5001382331954516E-3</v>
      </c>
      <c r="K505" s="534">
        <v>0</v>
      </c>
      <c r="L505" s="533">
        <v>0</v>
      </c>
      <c r="M505" s="533">
        <v>0</v>
      </c>
      <c r="N505" s="533">
        <v>0</v>
      </c>
      <c r="O505" s="534">
        <v>0</v>
      </c>
      <c r="P505" s="534">
        <v>0</v>
      </c>
      <c r="Q505" s="533">
        <v>0</v>
      </c>
      <c r="R505" s="534">
        <v>0</v>
      </c>
      <c r="S505" s="534">
        <v>0</v>
      </c>
      <c r="T505" s="534">
        <v>0</v>
      </c>
      <c r="U505" s="534">
        <v>7.4471431920361628E-3</v>
      </c>
      <c r="V505" s="535"/>
    </row>
    <row r="506" spans="1:22">
      <c r="A506" s="530"/>
      <c r="B506" s="536" t="s">
        <v>778</v>
      </c>
      <c r="C506" s="537">
        <v>-4.7631133546596628E-2</v>
      </c>
      <c r="D506" s="538">
        <v>-4.3802127338144923E-3</v>
      </c>
      <c r="E506" s="538">
        <v>-0.10532436815287524</v>
      </c>
      <c r="F506" s="538">
        <v>0</v>
      </c>
      <c r="G506" s="538">
        <v>4.3476146955163424</v>
      </c>
      <c r="H506" s="538">
        <v>0</v>
      </c>
      <c r="I506" s="538">
        <v>0</v>
      </c>
      <c r="J506" s="540">
        <v>2.5274598825547785E-2</v>
      </c>
      <c r="K506" s="540">
        <v>0</v>
      </c>
      <c r="L506" s="538">
        <v>0</v>
      </c>
      <c r="M506" s="538">
        <v>0</v>
      </c>
      <c r="N506" s="538">
        <v>0</v>
      </c>
      <c r="O506" s="540">
        <v>0</v>
      </c>
      <c r="P506" s="540">
        <v>0</v>
      </c>
      <c r="Q506" s="538">
        <v>0</v>
      </c>
      <c r="R506" s="540">
        <v>0</v>
      </c>
      <c r="S506" s="540">
        <v>0</v>
      </c>
      <c r="T506" s="540">
        <v>0</v>
      </c>
      <c r="U506" s="540">
        <v>2.5009914691687726E-2</v>
      </c>
      <c r="V506" s="535"/>
    </row>
    <row r="507" spans="1:22">
      <c r="A507" s="530"/>
      <c r="B507" s="508" t="s">
        <v>779</v>
      </c>
      <c r="C507" s="527">
        <v>0</v>
      </c>
      <c r="D507" s="528">
        <v>0</v>
      </c>
      <c r="E507" s="528">
        <v>0</v>
      </c>
      <c r="F507" s="528">
        <v>0</v>
      </c>
      <c r="G507" s="528">
        <v>0</v>
      </c>
      <c r="H507" s="528">
        <v>0</v>
      </c>
      <c r="I507" s="528">
        <v>0</v>
      </c>
      <c r="J507" s="529">
        <v>0</v>
      </c>
      <c r="K507" s="529">
        <v>0</v>
      </c>
      <c r="L507" s="528">
        <v>0</v>
      </c>
      <c r="M507" s="528">
        <v>0</v>
      </c>
      <c r="N507" s="528">
        <v>0</v>
      </c>
      <c r="O507" s="529">
        <v>0</v>
      </c>
      <c r="P507" s="529">
        <v>0</v>
      </c>
      <c r="Q507" s="528">
        <v>0</v>
      </c>
      <c r="R507" s="529">
        <v>0</v>
      </c>
      <c r="S507" s="529">
        <v>0</v>
      </c>
      <c r="T507" s="529">
        <v>0</v>
      </c>
      <c r="U507" s="529">
        <v>0</v>
      </c>
      <c r="V507" s="535"/>
    </row>
    <row r="508" spans="1:22">
      <c r="A508" s="530"/>
      <c r="B508" s="531" t="s">
        <v>780</v>
      </c>
      <c r="C508" s="532">
        <v>0</v>
      </c>
      <c r="D508" s="533">
        <v>0</v>
      </c>
      <c r="E508" s="533">
        <v>0</v>
      </c>
      <c r="F508" s="533">
        <v>0</v>
      </c>
      <c r="G508" s="533">
        <v>0</v>
      </c>
      <c r="H508" s="533">
        <v>0</v>
      </c>
      <c r="I508" s="533">
        <v>0</v>
      </c>
      <c r="J508" s="534">
        <v>0</v>
      </c>
      <c r="K508" s="534">
        <v>0</v>
      </c>
      <c r="L508" s="533">
        <v>0</v>
      </c>
      <c r="M508" s="533">
        <v>0</v>
      </c>
      <c r="N508" s="533">
        <v>0</v>
      </c>
      <c r="O508" s="534">
        <v>0</v>
      </c>
      <c r="P508" s="534">
        <v>0</v>
      </c>
      <c r="Q508" s="533">
        <v>0</v>
      </c>
      <c r="R508" s="534">
        <v>0</v>
      </c>
      <c r="S508" s="534">
        <v>0</v>
      </c>
      <c r="T508" s="534">
        <v>0</v>
      </c>
      <c r="U508" s="534">
        <v>0</v>
      </c>
      <c r="V508" s="535"/>
    </row>
    <row r="509" spans="1:22" ht="15.75" thickBot="1">
      <c r="A509" s="546"/>
      <c r="B509" s="547" t="s">
        <v>781</v>
      </c>
      <c r="C509" s="548">
        <v>0</v>
      </c>
      <c r="D509" s="549">
        <v>0</v>
      </c>
      <c r="E509" s="549">
        <v>0</v>
      </c>
      <c r="F509" s="549">
        <v>0</v>
      </c>
      <c r="G509" s="549">
        <v>0</v>
      </c>
      <c r="H509" s="549">
        <v>0</v>
      </c>
      <c r="I509" s="549">
        <v>0</v>
      </c>
      <c r="J509" s="550">
        <v>0</v>
      </c>
      <c r="K509" s="550">
        <v>0</v>
      </c>
      <c r="L509" s="549">
        <v>0</v>
      </c>
      <c r="M509" s="549">
        <v>0</v>
      </c>
      <c r="N509" s="549">
        <v>0</v>
      </c>
      <c r="O509" s="550">
        <v>0</v>
      </c>
      <c r="P509" s="550">
        <v>0</v>
      </c>
      <c r="Q509" s="549">
        <v>0</v>
      </c>
      <c r="R509" s="550">
        <v>0</v>
      </c>
      <c r="S509" s="550">
        <v>0</v>
      </c>
      <c r="T509" s="550">
        <v>0</v>
      </c>
      <c r="U509" s="550">
        <v>0</v>
      </c>
      <c r="V509" s="535"/>
    </row>
    <row r="510" spans="1:22">
      <c r="A510" s="526" t="s">
        <v>635</v>
      </c>
      <c r="B510" s="508" t="s">
        <v>746</v>
      </c>
      <c r="C510" s="527">
        <v>0.89178831935933944</v>
      </c>
      <c r="D510" s="528">
        <v>0.96901220365707486</v>
      </c>
      <c r="E510" s="528">
        <v>0.90040973204681796</v>
      </c>
      <c r="F510" s="528">
        <v>0</v>
      </c>
      <c r="G510" s="528">
        <v>0.99468225427988277</v>
      </c>
      <c r="H510" s="528">
        <v>0.77384827240861287</v>
      </c>
      <c r="I510" s="528">
        <v>0</v>
      </c>
      <c r="J510" s="529">
        <v>0.89896122875830498</v>
      </c>
      <c r="K510" s="529">
        <v>0</v>
      </c>
      <c r="L510" s="528">
        <v>0.63918781923811752</v>
      </c>
      <c r="M510" s="528">
        <v>0.44703174405114304</v>
      </c>
      <c r="N510" s="528">
        <v>0.38047019811618488</v>
      </c>
      <c r="O510" s="529">
        <v>0.55634256298597151</v>
      </c>
      <c r="P510" s="529">
        <v>0</v>
      </c>
      <c r="Q510" s="528">
        <v>0</v>
      </c>
      <c r="R510" s="529">
        <v>0</v>
      </c>
      <c r="S510" s="529">
        <v>0</v>
      </c>
      <c r="T510" s="529">
        <v>0</v>
      </c>
      <c r="U510" s="529">
        <v>0.76481539595131753</v>
      </c>
      <c r="V510" s="535"/>
    </row>
    <row r="511" spans="1:22">
      <c r="A511" s="530"/>
      <c r="B511" s="531" t="s">
        <v>747</v>
      </c>
      <c r="C511" s="532">
        <v>0.88057715238799261</v>
      </c>
      <c r="D511" s="533">
        <v>0.97119724523373407</v>
      </c>
      <c r="E511" s="533">
        <v>0.89097338684175664</v>
      </c>
      <c r="F511" s="533">
        <v>0</v>
      </c>
      <c r="G511" s="533">
        <v>0.99617374852632845</v>
      </c>
      <c r="H511" s="533">
        <v>0.75147290502190478</v>
      </c>
      <c r="I511" s="533">
        <v>0</v>
      </c>
      <c r="J511" s="534">
        <v>0.88890774037677722</v>
      </c>
      <c r="K511" s="534">
        <v>0</v>
      </c>
      <c r="L511" s="533">
        <v>0.61340879734589637</v>
      </c>
      <c r="M511" s="533">
        <v>0.42563977967744299</v>
      </c>
      <c r="N511" s="533">
        <v>0.36359979034097178</v>
      </c>
      <c r="O511" s="534">
        <v>0.5320919697648081</v>
      </c>
      <c r="P511" s="534">
        <v>0</v>
      </c>
      <c r="Q511" s="533">
        <v>0</v>
      </c>
      <c r="R511" s="534">
        <v>0</v>
      </c>
      <c r="S511" s="534">
        <v>0</v>
      </c>
      <c r="T511" s="534">
        <v>0</v>
      </c>
      <c r="U511" s="534">
        <v>0.75292229399404142</v>
      </c>
      <c r="V511" s="535"/>
    </row>
    <row r="512" spans="1:22">
      <c r="A512" s="530"/>
      <c r="B512" s="536" t="s">
        <v>748</v>
      </c>
      <c r="C512" s="537">
        <v>-1.1211166971346831</v>
      </c>
      <c r="D512" s="538">
        <v>0.21850415766592191</v>
      </c>
      <c r="E512" s="538">
        <v>-0.94363452050613139</v>
      </c>
      <c r="F512" s="538">
        <v>0</v>
      </c>
      <c r="G512" s="538">
        <v>0.14914942464456793</v>
      </c>
      <c r="H512" s="538">
        <v>-2.2375367386708089</v>
      </c>
      <c r="I512" s="538">
        <v>0</v>
      </c>
      <c r="J512" s="540">
        <v>-1.0053488381527753</v>
      </c>
      <c r="K512" s="540">
        <v>0</v>
      </c>
      <c r="L512" s="538">
        <v>-2.5779021892221143</v>
      </c>
      <c r="M512" s="538">
        <v>-2.1391964373700056</v>
      </c>
      <c r="N512" s="538">
        <v>-1.6870407775213092</v>
      </c>
      <c r="O512" s="540">
        <v>-2.4250593221163408</v>
      </c>
      <c r="P512" s="540">
        <v>0</v>
      </c>
      <c r="Q512" s="538">
        <v>0</v>
      </c>
      <c r="R512" s="540">
        <v>0</v>
      </c>
      <c r="S512" s="540">
        <v>0</v>
      </c>
      <c r="T512" s="540">
        <v>0</v>
      </c>
      <c r="U512" s="540">
        <v>-1.1893101957276109</v>
      </c>
      <c r="V512" s="535"/>
    </row>
    <row r="513" spans="1:22">
      <c r="A513" s="530"/>
      <c r="B513" s="508" t="s">
        <v>749</v>
      </c>
      <c r="C513" s="527">
        <v>1.3141432591715593E-2</v>
      </c>
      <c r="D513" s="528">
        <v>2.7496440264828208E-2</v>
      </c>
      <c r="E513" s="528">
        <v>1.4754182748046711E-2</v>
      </c>
      <c r="F513" s="528">
        <v>0</v>
      </c>
      <c r="G513" s="528">
        <v>5.3177457201171851E-3</v>
      </c>
      <c r="H513" s="528">
        <v>0</v>
      </c>
      <c r="I513" s="528">
        <v>0</v>
      </c>
      <c r="J513" s="529">
        <v>1.3771078911518443E-2</v>
      </c>
      <c r="K513" s="529">
        <v>0</v>
      </c>
      <c r="L513" s="528">
        <v>8.1955312306969313E-2</v>
      </c>
      <c r="M513" s="528">
        <v>0.23752684717882278</v>
      </c>
      <c r="N513" s="528">
        <v>0.25933573070067434</v>
      </c>
      <c r="O513" s="529">
        <v>0.1444490123231216</v>
      </c>
      <c r="P513" s="529">
        <v>0</v>
      </c>
      <c r="Q513" s="528">
        <v>0</v>
      </c>
      <c r="R513" s="529">
        <v>0</v>
      </c>
      <c r="S513" s="529">
        <v>0</v>
      </c>
      <c r="T513" s="529">
        <v>0</v>
      </c>
      <c r="U513" s="529">
        <v>6.4935542375525956E-2</v>
      </c>
      <c r="V513" s="535"/>
    </row>
    <row r="514" spans="1:22">
      <c r="A514" s="530"/>
      <c r="B514" s="531" t="s">
        <v>750</v>
      </c>
      <c r="C514" s="532">
        <v>1.2788616436541221E-2</v>
      </c>
      <c r="D514" s="533">
        <v>2.4833660068493701E-2</v>
      </c>
      <c r="E514" s="533">
        <v>1.4714364562621055E-2</v>
      </c>
      <c r="F514" s="533">
        <v>0</v>
      </c>
      <c r="G514" s="533">
        <v>3.8262514736715778E-3</v>
      </c>
      <c r="H514" s="533">
        <v>0</v>
      </c>
      <c r="I514" s="533">
        <v>0</v>
      </c>
      <c r="J514" s="534">
        <v>1.3384777149396348E-2</v>
      </c>
      <c r="K514" s="534">
        <v>0</v>
      </c>
      <c r="L514" s="533">
        <v>9.7343216546342301E-2</v>
      </c>
      <c r="M514" s="533">
        <v>0.24478987102606353</v>
      </c>
      <c r="N514" s="533">
        <v>0.25065288557030935</v>
      </c>
      <c r="O514" s="534">
        <v>0.15506070741921041</v>
      </c>
      <c r="P514" s="534">
        <v>0</v>
      </c>
      <c r="Q514" s="533">
        <v>0</v>
      </c>
      <c r="R514" s="534">
        <v>0</v>
      </c>
      <c r="S514" s="534">
        <v>0</v>
      </c>
      <c r="T514" s="534">
        <v>0</v>
      </c>
      <c r="U514" s="534">
        <v>6.7378647953894213E-2</v>
      </c>
      <c r="V514" s="535"/>
    </row>
    <row r="515" spans="1:22">
      <c r="A515" s="530"/>
      <c r="B515" s="536" t="s">
        <v>751</v>
      </c>
      <c r="C515" s="537">
        <v>-3.528161551743722E-2</v>
      </c>
      <c r="D515" s="538">
        <v>-0.26627801963345077</v>
      </c>
      <c r="E515" s="538">
        <v>-3.9818185425656225E-3</v>
      </c>
      <c r="F515" s="538">
        <v>0</v>
      </c>
      <c r="G515" s="538">
        <v>-0.14914942464456074</v>
      </c>
      <c r="H515" s="538">
        <v>0</v>
      </c>
      <c r="I515" s="538">
        <v>0</v>
      </c>
      <c r="J515" s="540">
        <v>-3.8630176212209495E-2</v>
      </c>
      <c r="K515" s="540">
        <v>0</v>
      </c>
      <c r="L515" s="538">
        <v>1.5387904239372987</v>
      </c>
      <c r="M515" s="538">
        <v>0.72630238472407571</v>
      </c>
      <c r="N515" s="538">
        <v>-0.86828451303649912</v>
      </c>
      <c r="O515" s="540">
        <v>1.0611695096088809</v>
      </c>
      <c r="P515" s="540">
        <v>0</v>
      </c>
      <c r="Q515" s="538">
        <v>0</v>
      </c>
      <c r="R515" s="540">
        <v>0</v>
      </c>
      <c r="S515" s="540">
        <v>0</v>
      </c>
      <c r="T515" s="540">
        <v>0</v>
      </c>
      <c r="U515" s="540">
        <v>0.2443105578368257</v>
      </c>
      <c r="V515" s="535"/>
    </row>
    <row r="516" spans="1:22">
      <c r="A516" s="530"/>
      <c r="B516" s="508" t="s">
        <v>752</v>
      </c>
      <c r="C516" s="527">
        <v>8.6040075265598176E-2</v>
      </c>
      <c r="D516" s="528">
        <v>3.405547019341898E-3</v>
      </c>
      <c r="E516" s="528">
        <v>8.3595737106097287E-2</v>
      </c>
      <c r="F516" s="528">
        <v>0</v>
      </c>
      <c r="G516" s="528">
        <v>0</v>
      </c>
      <c r="H516" s="528">
        <v>0.22615172759138708</v>
      </c>
      <c r="I516" s="528">
        <v>0</v>
      </c>
      <c r="J516" s="529">
        <v>8.1066200930893215E-2</v>
      </c>
      <c r="K516" s="529">
        <v>0</v>
      </c>
      <c r="L516" s="528">
        <v>0.27805139823473762</v>
      </c>
      <c r="M516" s="528">
        <v>0.26859523879055619</v>
      </c>
      <c r="N516" s="528">
        <v>0.29444723495237124</v>
      </c>
      <c r="O516" s="529">
        <v>0.27813178837525632</v>
      </c>
      <c r="P516" s="529">
        <v>0</v>
      </c>
      <c r="Q516" s="528">
        <v>0</v>
      </c>
      <c r="R516" s="529">
        <v>0</v>
      </c>
      <c r="S516" s="529">
        <v>0</v>
      </c>
      <c r="T516" s="529">
        <v>0</v>
      </c>
      <c r="U516" s="529">
        <v>0.15822348973689315</v>
      </c>
      <c r="V516" s="535"/>
    </row>
    <row r="517" spans="1:22">
      <c r="A517" s="530"/>
      <c r="B517" s="531" t="s">
        <v>753</v>
      </c>
      <c r="C517" s="532">
        <v>9.7699767088532355E-2</v>
      </c>
      <c r="D517" s="533">
        <v>3.8618218681026923E-3</v>
      </c>
      <c r="E517" s="533">
        <v>9.3568950534681339E-2</v>
      </c>
      <c r="F517" s="533">
        <v>0</v>
      </c>
      <c r="G517" s="533">
        <v>0</v>
      </c>
      <c r="H517" s="533">
        <v>0.24852709497809525</v>
      </c>
      <c r="I517" s="533">
        <v>0</v>
      </c>
      <c r="J517" s="534">
        <v>9.1652188142813715E-2</v>
      </c>
      <c r="K517" s="534">
        <v>0</v>
      </c>
      <c r="L517" s="533">
        <v>0.28881974927510601</v>
      </c>
      <c r="M517" s="533">
        <v>0.27712429656132848</v>
      </c>
      <c r="N517" s="533">
        <v>0.31742882627726487</v>
      </c>
      <c r="O517" s="534">
        <v>0.29008006531644237</v>
      </c>
      <c r="P517" s="534">
        <v>0</v>
      </c>
      <c r="Q517" s="533">
        <v>0</v>
      </c>
      <c r="R517" s="534">
        <v>0</v>
      </c>
      <c r="S517" s="534">
        <v>0</v>
      </c>
      <c r="T517" s="534">
        <v>0</v>
      </c>
      <c r="U517" s="534">
        <v>0.1672746960996675</v>
      </c>
      <c r="V517" s="535"/>
    </row>
    <row r="518" spans="1:22">
      <c r="A518" s="530"/>
      <c r="B518" s="536" t="s">
        <v>754</v>
      </c>
      <c r="C518" s="537">
        <v>1.1659691822934179</v>
      </c>
      <c r="D518" s="538">
        <v>4.5627484876079427E-2</v>
      </c>
      <c r="E518" s="538">
        <v>0.99732134285840512</v>
      </c>
      <c r="F518" s="538">
        <v>0</v>
      </c>
      <c r="G518" s="538">
        <v>0</v>
      </c>
      <c r="H518" s="538">
        <v>2.2375367386708174</v>
      </c>
      <c r="I518" s="538">
        <v>0</v>
      </c>
      <c r="J518" s="540">
        <v>1.05859872119205</v>
      </c>
      <c r="K518" s="540">
        <v>0</v>
      </c>
      <c r="L518" s="538">
        <v>1.0768351040368385</v>
      </c>
      <c r="M518" s="538">
        <v>0.85290577707722859</v>
      </c>
      <c r="N518" s="538">
        <v>2.2981591324893635</v>
      </c>
      <c r="O518" s="540">
        <v>1.1948276941186053</v>
      </c>
      <c r="P518" s="540">
        <v>0</v>
      </c>
      <c r="Q518" s="538">
        <v>0</v>
      </c>
      <c r="R518" s="540">
        <v>0</v>
      </c>
      <c r="S518" s="540">
        <v>0</v>
      </c>
      <c r="T518" s="540">
        <v>0</v>
      </c>
      <c r="U518" s="540">
        <v>0.90512063627743444</v>
      </c>
      <c r="V518" s="535"/>
    </row>
    <row r="519" spans="1:22">
      <c r="A519" s="530"/>
      <c r="B519" s="508" t="s">
        <v>755</v>
      </c>
      <c r="C519" s="527">
        <v>8.955920291208206E-3</v>
      </c>
      <c r="D519" s="528">
        <v>8.5809058755071451E-5</v>
      </c>
      <c r="E519" s="528">
        <v>1.2403480990380337E-3</v>
      </c>
      <c r="F519" s="528">
        <v>0</v>
      </c>
      <c r="G519" s="528">
        <v>0</v>
      </c>
      <c r="H519" s="528">
        <v>0</v>
      </c>
      <c r="I519" s="528">
        <v>0</v>
      </c>
      <c r="J519" s="529">
        <v>6.1533197196628701E-3</v>
      </c>
      <c r="K519" s="529">
        <v>0</v>
      </c>
      <c r="L519" s="528">
        <v>8.0547022017554118E-4</v>
      </c>
      <c r="M519" s="528">
        <v>4.6846169979478006E-2</v>
      </c>
      <c r="N519" s="528">
        <v>6.5746836230769573E-2</v>
      </c>
      <c r="O519" s="529">
        <v>2.1076636315650567E-2</v>
      </c>
      <c r="P519" s="529">
        <v>0</v>
      </c>
      <c r="Q519" s="528">
        <v>0</v>
      </c>
      <c r="R519" s="529">
        <v>0</v>
      </c>
      <c r="S519" s="529">
        <v>0</v>
      </c>
      <c r="T519" s="529">
        <v>0</v>
      </c>
      <c r="U519" s="529">
        <v>1.1996260963095733E-2</v>
      </c>
      <c r="V519" s="535"/>
    </row>
    <row r="520" spans="1:22">
      <c r="A520" s="530"/>
      <c r="B520" s="531" t="s">
        <v>756</v>
      </c>
      <c r="C520" s="532">
        <v>8.9134141403635209E-3</v>
      </c>
      <c r="D520" s="533">
        <v>1.0727282966951923E-4</v>
      </c>
      <c r="E520" s="533">
        <v>7.4329806094095214E-4</v>
      </c>
      <c r="F520" s="533">
        <v>0</v>
      </c>
      <c r="G520" s="533">
        <v>0</v>
      </c>
      <c r="H520" s="533">
        <v>0</v>
      </c>
      <c r="I520" s="533">
        <v>0</v>
      </c>
      <c r="J520" s="534">
        <v>6.0415088003786636E-3</v>
      </c>
      <c r="K520" s="534">
        <v>0</v>
      </c>
      <c r="L520" s="533">
        <v>4.2823683265533636E-4</v>
      </c>
      <c r="M520" s="533">
        <v>5.2446052735165012E-2</v>
      </c>
      <c r="N520" s="533">
        <v>6.8318497811454007E-2</v>
      </c>
      <c r="O520" s="534">
        <v>2.2767257499539097E-2</v>
      </c>
      <c r="P520" s="534">
        <v>0</v>
      </c>
      <c r="Q520" s="533">
        <v>0</v>
      </c>
      <c r="R520" s="534">
        <v>0</v>
      </c>
      <c r="S520" s="534">
        <v>0</v>
      </c>
      <c r="T520" s="534">
        <v>0</v>
      </c>
      <c r="U520" s="534">
        <v>1.2415830201699871E-2</v>
      </c>
      <c r="V520" s="535"/>
    </row>
    <row r="521" spans="1:22">
      <c r="A521" s="530"/>
      <c r="B521" s="536" t="s">
        <v>757</v>
      </c>
      <c r="C521" s="537">
        <v>-4.2506150844685148E-3</v>
      </c>
      <c r="D521" s="538">
        <v>2.1463770914447776E-3</v>
      </c>
      <c r="E521" s="538">
        <v>-4.9705003809708152E-2</v>
      </c>
      <c r="F521" s="538">
        <v>0</v>
      </c>
      <c r="G521" s="538">
        <v>0</v>
      </c>
      <c r="H521" s="538">
        <v>0</v>
      </c>
      <c r="I521" s="538">
        <v>0</v>
      </c>
      <c r="J521" s="540">
        <v>-1.1181091928420643E-2</v>
      </c>
      <c r="K521" s="540">
        <v>0</v>
      </c>
      <c r="L521" s="538">
        <v>-3.7723338752020483E-2</v>
      </c>
      <c r="M521" s="538">
        <v>0.55998827556870068</v>
      </c>
      <c r="N521" s="538">
        <v>0.2571661580684434</v>
      </c>
      <c r="O521" s="540">
        <v>0.16906211838885293</v>
      </c>
      <c r="P521" s="540">
        <v>0</v>
      </c>
      <c r="Q521" s="538">
        <v>0</v>
      </c>
      <c r="R521" s="540">
        <v>0</v>
      </c>
      <c r="S521" s="540">
        <v>0</v>
      </c>
      <c r="T521" s="540">
        <v>0</v>
      </c>
      <c r="U521" s="540">
        <v>4.1956923860413803E-2</v>
      </c>
      <c r="V521" s="535"/>
    </row>
    <row r="522" spans="1:22">
      <c r="A522" s="530"/>
      <c r="B522" s="508" t="s">
        <v>758</v>
      </c>
      <c r="C522" s="527">
        <v>7.425249213859605E-5</v>
      </c>
      <c r="D522" s="528">
        <v>0</v>
      </c>
      <c r="E522" s="528">
        <v>0</v>
      </c>
      <c r="F522" s="528">
        <v>0</v>
      </c>
      <c r="G522" s="528">
        <v>0</v>
      </c>
      <c r="H522" s="528">
        <v>0</v>
      </c>
      <c r="I522" s="528">
        <v>0</v>
      </c>
      <c r="J522" s="529">
        <v>4.8171679620528003E-5</v>
      </c>
      <c r="K522" s="529">
        <v>0</v>
      </c>
      <c r="L522" s="528">
        <v>0</v>
      </c>
      <c r="M522" s="528">
        <v>0</v>
      </c>
      <c r="N522" s="528">
        <v>0</v>
      </c>
      <c r="O522" s="529">
        <v>0</v>
      </c>
      <c r="P522" s="529">
        <v>0</v>
      </c>
      <c r="Q522" s="528">
        <v>0</v>
      </c>
      <c r="R522" s="529">
        <v>0</v>
      </c>
      <c r="S522" s="529">
        <v>0</v>
      </c>
      <c r="T522" s="529">
        <v>0</v>
      </c>
      <c r="U522" s="529">
        <v>2.9310973167654631E-5</v>
      </c>
      <c r="V522" s="535"/>
    </row>
    <row r="523" spans="1:22">
      <c r="A523" s="530"/>
      <c r="B523" s="531" t="s">
        <v>759</v>
      </c>
      <c r="C523" s="532">
        <v>2.1049946570282674E-5</v>
      </c>
      <c r="D523" s="533">
        <v>0</v>
      </c>
      <c r="E523" s="533">
        <v>0</v>
      </c>
      <c r="F523" s="533">
        <v>0</v>
      </c>
      <c r="G523" s="533">
        <v>0</v>
      </c>
      <c r="H523" s="533">
        <v>0</v>
      </c>
      <c r="I523" s="533">
        <v>0</v>
      </c>
      <c r="J523" s="534">
        <v>1.3785530634064264E-5</v>
      </c>
      <c r="K523" s="534">
        <v>0</v>
      </c>
      <c r="L523" s="533">
        <v>0</v>
      </c>
      <c r="M523" s="533">
        <v>0</v>
      </c>
      <c r="N523" s="533">
        <v>0</v>
      </c>
      <c r="O523" s="534">
        <v>0</v>
      </c>
      <c r="P523" s="534">
        <v>0</v>
      </c>
      <c r="Q523" s="533">
        <v>0</v>
      </c>
      <c r="R523" s="534">
        <v>0</v>
      </c>
      <c r="S523" s="534">
        <v>0</v>
      </c>
      <c r="T523" s="534">
        <v>0</v>
      </c>
      <c r="U523" s="534">
        <v>8.5317506969248381E-6</v>
      </c>
      <c r="V523" s="535"/>
    </row>
    <row r="524" spans="1:22">
      <c r="A524" s="530"/>
      <c r="B524" s="536" t="s">
        <v>760</v>
      </c>
      <c r="C524" s="537">
        <v>-5.3202545568313379E-3</v>
      </c>
      <c r="D524" s="538">
        <v>0</v>
      </c>
      <c r="E524" s="538">
        <v>0</v>
      </c>
      <c r="F524" s="538">
        <v>0</v>
      </c>
      <c r="G524" s="538">
        <v>0</v>
      </c>
      <c r="H524" s="538">
        <v>0</v>
      </c>
      <c r="I524" s="538">
        <v>0</v>
      </c>
      <c r="J524" s="540">
        <v>-3.4386148986463743E-3</v>
      </c>
      <c r="K524" s="540">
        <v>0</v>
      </c>
      <c r="L524" s="538">
        <v>0</v>
      </c>
      <c r="M524" s="538">
        <v>0</v>
      </c>
      <c r="N524" s="538">
        <v>0</v>
      </c>
      <c r="O524" s="540">
        <v>0</v>
      </c>
      <c r="P524" s="540">
        <v>0</v>
      </c>
      <c r="Q524" s="538">
        <v>0</v>
      </c>
      <c r="R524" s="540">
        <v>0</v>
      </c>
      <c r="S524" s="540">
        <v>0</v>
      </c>
      <c r="T524" s="540">
        <v>0</v>
      </c>
      <c r="U524" s="540">
        <v>-2.0779222470729791E-3</v>
      </c>
      <c r="V524" s="535"/>
    </row>
    <row r="525" spans="1:22">
      <c r="A525" s="530"/>
      <c r="B525" s="508" t="s">
        <v>761</v>
      </c>
      <c r="C525" s="527">
        <v>0</v>
      </c>
      <c r="D525" s="528">
        <v>0</v>
      </c>
      <c r="E525" s="528">
        <v>0</v>
      </c>
      <c r="F525" s="528">
        <v>0</v>
      </c>
      <c r="G525" s="528">
        <v>0</v>
      </c>
      <c r="H525" s="528">
        <v>0</v>
      </c>
      <c r="I525" s="528">
        <v>0</v>
      </c>
      <c r="J525" s="529">
        <v>0</v>
      </c>
      <c r="K525" s="529">
        <v>0</v>
      </c>
      <c r="L525" s="528">
        <v>0</v>
      </c>
      <c r="M525" s="528">
        <v>0</v>
      </c>
      <c r="N525" s="528">
        <v>0</v>
      </c>
      <c r="O525" s="529">
        <v>0</v>
      </c>
      <c r="P525" s="529">
        <v>0</v>
      </c>
      <c r="Q525" s="528">
        <v>0</v>
      </c>
      <c r="R525" s="529">
        <v>0</v>
      </c>
      <c r="S525" s="529">
        <v>0</v>
      </c>
      <c r="T525" s="529">
        <v>0</v>
      </c>
      <c r="U525" s="529">
        <v>0</v>
      </c>
      <c r="V525" s="535"/>
    </row>
    <row r="526" spans="1:22">
      <c r="A526" s="530"/>
      <c r="B526" s="531" t="s">
        <v>762</v>
      </c>
      <c r="C526" s="532">
        <v>0</v>
      </c>
      <c r="D526" s="533">
        <v>0</v>
      </c>
      <c r="E526" s="533">
        <v>0</v>
      </c>
      <c r="F526" s="533">
        <v>0</v>
      </c>
      <c r="G526" s="533">
        <v>0</v>
      </c>
      <c r="H526" s="533">
        <v>0</v>
      </c>
      <c r="I526" s="533">
        <v>0</v>
      </c>
      <c r="J526" s="534">
        <v>0</v>
      </c>
      <c r="K526" s="534">
        <v>0</v>
      </c>
      <c r="L526" s="533">
        <v>0</v>
      </c>
      <c r="M526" s="533">
        <v>0</v>
      </c>
      <c r="N526" s="533">
        <v>0</v>
      </c>
      <c r="O526" s="534">
        <v>0</v>
      </c>
      <c r="P526" s="534">
        <v>0</v>
      </c>
      <c r="Q526" s="533">
        <v>0</v>
      </c>
      <c r="R526" s="534">
        <v>0</v>
      </c>
      <c r="S526" s="534">
        <v>0</v>
      </c>
      <c r="T526" s="534">
        <v>0</v>
      </c>
      <c r="U526" s="534">
        <v>0</v>
      </c>
      <c r="V526" s="535"/>
    </row>
    <row r="527" spans="1:22" ht="15.75" thickBot="1">
      <c r="A527" s="530"/>
      <c r="B527" s="542" t="s">
        <v>763</v>
      </c>
      <c r="C527" s="543">
        <v>0</v>
      </c>
      <c r="D527" s="544">
        <v>0</v>
      </c>
      <c r="E527" s="544">
        <v>0</v>
      </c>
      <c r="F527" s="544">
        <v>0</v>
      </c>
      <c r="G527" s="544">
        <v>0</v>
      </c>
      <c r="H527" s="544">
        <v>0</v>
      </c>
      <c r="I527" s="544">
        <v>0</v>
      </c>
      <c r="J527" s="545">
        <v>0</v>
      </c>
      <c r="K527" s="545">
        <v>0</v>
      </c>
      <c r="L527" s="544">
        <v>0</v>
      </c>
      <c r="M527" s="544">
        <v>0</v>
      </c>
      <c r="N527" s="544">
        <v>0</v>
      </c>
      <c r="O527" s="545">
        <v>0</v>
      </c>
      <c r="P527" s="545">
        <v>0</v>
      </c>
      <c r="Q527" s="544">
        <v>0</v>
      </c>
      <c r="R527" s="545">
        <v>0</v>
      </c>
      <c r="S527" s="545">
        <v>0</v>
      </c>
      <c r="T527" s="545">
        <v>0</v>
      </c>
      <c r="U527" s="545">
        <v>0</v>
      </c>
      <c r="V527" s="535"/>
    </row>
    <row r="528" spans="1:22" ht="15.75" thickTop="1">
      <c r="A528" s="530"/>
      <c r="B528" s="531" t="s">
        <v>764</v>
      </c>
      <c r="C528" s="532">
        <v>0.78587937587432621</v>
      </c>
      <c r="D528" s="533">
        <v>0.8238400850263663</v>
      </c>
      <c r="E528" s="533">
        <v>0.6652767189278177</v>
      </c>
      <c r="F528" s="533">
        <v>0</v>
      </c>
      <c r="G528" s="533">
        <v>0.98329425556858152</v>
      </c>
      <c r="H528" s="533">
        <v>0</v>
      </c>
      <c r="I528" s="533">
        <v>0</v>
      </c>
      <c r="J528" s="534">
        <v>0.77669170969880497</v>
      </c>
      <c r="K528" s="534">
        <v>0</v>
      </c>
      <c r="L528" s="533">
        <v>0</v>
      </c>
      <c r="M528" s="533">
        <v>0</v>
      </c>
      <c r="N528" s="533">
        <v>0</v>
      </c>
      <c r="O528" s="534">
        <v>0</v>
      </c>
      <c r="P528" s="534">
        <v>0</v>
      </c>
      <c r="Q528" s="533">
        <v>0</v>
      </c>
      <c r="R528" s="534">
        <v>0</v>
      </c>
      <c r="S528" s="534">
        <v>0</v>
      </c>
      <c r="T528" s="534">
        <v>0</v>
      </c>
      <c r="U528" s="534">
        <v>0.77669170969880497</v>
      </c>
      <c r="V528" s="535"/>
    </row>
    <row r="529" spans="1:22">
      <c r="A529" s="530"/>
      <c r="B529" s="531" t="s">
        <v>765</v>
      </c>
      <c r="C529" s="532">
        <v>0.78038644267377311</v>
      </c>
      <c r="D529" s="533">
        <v>0.79827115188583075</v>
      </c>
      <c r="E529" s="533">
        <v>0.62321163602369722</v>
      </c>
      <c r="F529" s="533">
        <v>0</v>
      </c>
      <c r="G529" s="533">
        <v>0.986101919258769</v>
      </c>
      <c r="H529" s="533">
        <v>0</v>
      </c>
      <c r="I529" s="533">
        <v>0</v>
      </c>
      <c r="J529" s="534">
        <v>0.76589027003074772</v>
      </c>
      <c r="K529" s="534">
        <v>0</v>
      </c>
      <c r="L529" s="533">
        <v>0</v>
      </c>
      <c r="M529" s="533">
        <v>0</v>
      </c>
      <c r="N529" s="533">
        <v>0</v>
      </c>
      <c r="O529" s="534">
        <v>0</v>
      </c>
      <c r="P529" s="534">
        <v>0</v>
      </c>
      <c r="Q529" s="533">
        <v>0</v>
      </c>
      <c r="R529" s="534">
        <v>0</v>
      </c>
      <c r="S529" s="534">
        <v>0</v>
      </c>
      <c r="T529" s="534">
        <v>0</v>
      </c>
      <c r="U529" s="534">
        <v>0.76589027003074772</v>
      </c>
      <c r="V529" s="535"/>
    </row>
    <row r="530" spans="1:22">
      <c r="A530" s="530"/>
      <c r="B530" s="536" t="s">
        <v>766</v>
      </c>
      <c r="C530" s="537">
        <v>-0.54929332005531073</v>
      </c>
      <c r="D530" s="538">
        <v>-2.5568933140535544</v>
      </c>
      <c r="E530" s="538">
        <v>-4.2065082904120477</v>
      </c>
      <c r="F530" s="538">
        <v>0</v>
      </c>
      <c r="G530" s="538">
        <v>0.28076636901874785</v>
      </c>
      <c r="H530" s="538">
        <v>0</v>
      </c>
      <c r="I530" s="538">
        <v>0</v>
      </c>
      <c r="J530" s="540">
        <v>-1.0801439668057244</v>
      </c>
      <c r="K530" s="540">
        <v>0</v>
      </c>
      <c r="L530" s="538">
        <v>0</v>
      </c>
      <c r="M530" s="538">
        <v>0</v>
      </c>
      <c r="N530" s="538">
        <v>0</v>
      </c>
      <c r="O530" s="540">
        <v>0</v>
      </c>
      <c r="P530" s="540">
        <v>0</v>
      </c>
      <c r="Q530" s="538">
        <v>0</v>
      </c>
      <c r="R530" s="540">
        <v>0</v>
      </c>
      <c r="S530" s="540">
        <v>0</v>
      </c>
      <c r="T530" s="540">
        <v>0</v>
      </c>
      <c r="U530" s="540">
        <v>-1.0801439668057244</v>
      </c>
      <c r="V530" s="535"/>
    </row>
    <row r="531" spans="1:22">
      <c r="A531" s="530"/>
      <c r="B531" s="508" t="s">
        <v>767</v>
      </c>
      <c r="C531" s="527">
        <v>7.4570033084714687E-2</v>
      </c>
      <c r="D531" s="528">
        <v>8.2124024036299717E-2</v>
      </c>
      <c r="E531" s="528">
        <v>0.10752759455069774</v>
      </c>
      <c r="F531" s="528">
        <v>0</v>
      </c>
      <c r="G531" s="528">
        <v>1.6705744431418524E-2</v>
      </c>
      <c r="H531" s="528">
        <v>0</v>
      </c>
      <c r="I531" s="528">
        <v>0</v>
      </c>
      <c r="J531" s="529">
        <v>7.8337148852821101E-2</v>
      </c>
      <c r="K531" s="529">
        <v>0</v>
      </c>
      <c r="L531" s="528">
        <v>0</v>
      </c>
      <c r="M531" s="528">
        <v>0</v>
      </c>
      <c r="N531" s="528">
        <v>0</v>
      </c>
      <c r="O531" s="529">
        <v>0</v>
      </c>
      <c r="P531" s="529">
        <v>0</v>
      </c>
      <c r="Q531" s="528">
        <v>0</v>
      </c>
      <c r="R531" s="529">
        <v>0</v>
      </c>
      <c r="S531" s="529">
        <v>0</v>
      </c>
      <c r="T531" s="529">
        <v>0</v>
      </c>
      <c r="U531" s="529">
        <v>7.8337148852821101E-2</v>
      </c>
      <c r="V531" s="535"/>
    </row>
    <row r="532" spans="1:22">
      <c r="A532" s="530"/>
      <c r="B532" s="531" t="s">
        <v>768</v>
      </c>
      <c r="C532" s="532">
        <v>6.5928787838239453E-2</v>
      </c>
      <c r="D532" s="533">
        <v>7.7496432212028538E-2</v>
      </c>
      <c r="E532" s="533">
        <v>0.11744940547715062</v>
      </c>
      <c r="F532" s="533">
        <v>0</v>
      </c>
      <c r="G532" s="533">
        <v>1.3898080741230973E-2</v>
      </c>
      <c r="H532" s="533">
        <v>0</v>
      </c>
      <c r="I532" s="533">
        <v>0</v>
      </c>
      <c r="J532" s="534">
        <v>7.1969779732902167E-2</v>
      </c>
      <c r="K532" s="534">
        <v>0</v>
      </c>
      <c r="L532" s="533">
        <v>0</v>
      </c>
      <c r="M532" s="533">
        <v>0</v>
      </c>
      <c r="N532" s="533">
        <v>0</v>
      </c>
      <c r="O532" s="534">
        <v>0</v>
      </c>
      <c r="P532" s="534">
        <v>0</v>
      </c>
      <c r="Q532" s="533">
        <v>0</v>
      </c>
      <c r="R532" s="534">
        <v>0</v>
      </c>
      <c r="S532" s="534">
        <v>0</v>
      </c>
      <c r="T532" s="534">
        <v>0</v>
      </c>
      <c r="U532" s="534">
        <v>7.1969779732902167E-2</v>
      </c>
      <c r="V532" s="535"/>
    </row>
    <row r="533" spans="1:22">
      <c r="A533" s="530"/>
      <c r="B533" s="536" t="s">
        <v>769</v>
      </c>
      <c r="C533" s="537">
        <v>-0.86412452464752354</v>
      </c>
      <c r="D533" s="538">
        <v>-0.46275918242711794</v>
      </c>
      <c r="E533" s="538">
        <v>0.99218109264528764</v>
      </c>
      <c r="F533" s="538">
        <v>0</v>
      </c>
      <c r="G533" s="538">
        <v>-0.28076636901875512</v>
      </c>
      <c r="H533" s="538">
        <v>0</v>
      </c>
      <c r="I533" s="538">
        <v>0</v>
      </c>
      <c r="J533" s="540">
        <v>-0.63673691199189331</v>
      </c>
      <c r="K533" s="540">
        <v>0</v>
      </c>
      <c r="L533" s="538">
        <v>0</v>
      </c>
      <c r="M533" s="538">
        <v>0</v>
      </c>
      <c r="N533" s="538">
        <v>0</v>
      </c>
      <c r="O533" s="540">
        <v>0</v>
      </c>
      <c r="P533" s="540">
        <v>0</v>
      </c>
      <c r="Q533" s="538">
        <v>0</v>
      </c>
      <c r="R533" s="540">
        <v>0</v>
      </c>
      <c r="S533" s="540">
        <v>0</v>
      </c>
      <c r="T533" s="540">
        <v>0</v>
      </c>
      <c r="U533" s="540">
        <v>-0.63673691199189331</v>
      </c>
      <c r="V533" s="535"/>
    </row>
    <row r="534" spans="1:22">
      <c r="A534" s="530"/>
      <c r="B534" s="508" t="s">
        <v>770</v>
      </c>
      <c r="C534" s="527">
        <v>0.10286177831402331</v>
      </c>
      <c r="D534" s="528">
        <v>9.2073744021583623E-2</v>
      </c>
      <c r="E534" s="528">
        <v>0.20565039168241131</v>
      </c>
      <c r="F534" s="528">
        <v>0</v>
      </c>
      <c r="G534" s="528">
        <v>0</v>
      </c>
      <c r="H534" s="528">
        <v>0</v>
      </c>
      <c r="I534" s="528">
        <v>0</v>
      </c>
      <c r="J534" s="529">
        <v>0.11248112782386627</v>
      </c>
      <c r="K534" s="529">
        <v>0</v>
      </c>
      <c r="L534" s="528">
        <v>0</v>
      </c>
      <c r="M534" s="528">
        <v>0</v>
      </c>
      <c r="N534" s="528">
        <v>0</v>
      </c>
      <c r="O534" s="529">
        <v>0</v>
      </c>
      <c r="P534" s="529">
        <v>0</v>
      </c>
      <c r="Q534" s="528">
        <v>0</v>
      </c>
      <c r="R534" s="529">
        <v>0</v>
      </c>
      <c r="S534" s="529">
        <v>0</v>
      </c>
      <c r="T534" s="529">
        <v>0</v>
      </c>
      <c r="U534" s="529">
        <v>0.11248112782386627</v>
      </c>
      <c r="V534" s="535"/>
    </row>
    <row r="535" spans="1:22">
      <c r="A535" s="530"/>
      <c r="B535" s="531" t="s">
        <v>771</v>
      </c>
      <c r="C535" s="532">
        <v>0.11958933071160047</v>
      </c>
      <c r="D535" s="533">
        <v>0.12374311926605505</v>
      </c>
      <c r="E535" s="533">
        <v>0.23591301644556253</v>
      </c>
      <c r="F535" s="533">
        <v>0</v>
      </c>
      <c r="G535" s="533">
        <v>0</v>
      </c>
      <c r="H535" s="533">
        <v>0</v>
      </c>
      <c r="I535" s="533">
        <v>0</v>
      </c>
      <c r="J535" s="534">
        <v>0.13166454125500904</v>
      </c>
      <c r="K535" s="534">
        <v>0</v>
      </c>
      <c r="L535" s="533">
        <v>0</v>
      </c>
      <c r="M535" s="533">
        <v>0</v>
      </c>
      <c r="N535" s="533">
        <v>0</v>
      </c>
      <c r="O535" s="534">
        <v>0</v>
      </c>
      <c r="P535" s="534">
        <v>0</v>
      </c>
      <c r="Q535" s="533">
        <v>0</v>
      </c>
      <c r="R535" s="534">
        <v>0</v>
      </c>
      <c r="S535" s="534">
        <v>0</v>
      </c>
      <c r="T535" s="534">
        <v>0</v>
      </c>
      <c r="U535" s="534">
        <v>0.13166454125500904</v>
      </c>
      <c r="V535" s="535"/>
    </row>
    <row r="536" spans="1:22">
      <c r="A536" s="530"/>
      <c r="B536" s="536" t="s">
        <v>772</v>
      </c>
      <c r="C536" s="537">
        <v>1.6727552397577159</v>
      </c>
      <c r="D536" s="538">
        <v>3.1669375244471429</v>
      </c>
      <c r="E536" s="538">
        <v>3.0262624763151225</v>
      </c>
      <c r="F536" s="538">
        <v>0</v>
      </c>
      <c r="G536" s="538">
        <v>0</v>
      </c>
      <c r="H536" s="538">
        <v>0</v>
      </c>
      <c r="I536" s="538">
        <v>0</v>
      </c>
      <c r="J536" s="540">
        <v>1.9183413431142771</v>
      </c>
      <c r="K536" s="540">
        <v>0</v>
      </c>
      <c r="L536" s="538">
        <v>0</v>
      </c>
      <c r="M536" s="538">
        <v>0</v>
      </c>
      <c r="N536" s="538">
        <v>0</v>
      </c>
      <c r="O536" s="540">
        <v>0</v>
      </c>
      <c r="P536" s="540">
        <v>0</v>
      </c>
      <c r="Q536" s="538">
        <v>0</v>
      </c>
      <c r="R536" s="540">
        <v>0</v>
      </c>
      <c r="S536" s="540">
        <v>0</v>
      </c>
      <c r="T536" s="540">
        <v>0</v>
      </c>
      <c r="U536" s="540">
        <v>1.9183413431142771</v>
      </c>
      <c r="V536" s="535"/>
    </row>
    <row r="537" spans="1:22">
      <c r="A537" s="530"/>
      <c r="B537" s="508" t="s">
        <v>773</v>
      </c>
      <c r="C537" s="527">
        <v>3.3445407391795724E-2</v>
      </c>
      <c r="D537" s="528">
        <v>1.9621469157503168E-3</v>
      </c>
      <c r="E537" s="528">
        <v>2.154529483907322E-2</v>
      </c>
      <c r="F537" s="528">
        <v>0</v>
      </c>
      <c r="G537" s="528">
        <v>0</v>
      </c>
      <c r="H537" s="528">
        <v>0</v>
      </c>
      <c r="I537" s="528">
        <v>0</v>
      </c>
      <c r="J537" s="529">
        <v>2.9830073563061055E-2</v>
      </c>
      <c r="K537" s="529">
        <v>0</v>
      </c>
      <c r="L537" s="528">
        <v>0</v>
      </c>
      <c r="M537" s="528">
        <v>0</v>
      </c>
      <c r="N537" s="528">
        <v>0</v>
      </c>
      <c r="O537" s="529">
        <v>0</v>
      </c>
      <c r="P537" s="529">
        <v>0</v>
      </c>
      <c r="Q537" s="528">
        <v>0</v>
      </c>
      <c r="R537" s="529">
        <v>0</v>
      </c>
      <c r="S537" s="529">
        <v>0</v>
      </c>
      <c r="T537" s="529">
        <v>0</v>
      </c>
      <c r="U537" s="529">
        <v>2.9830073563061055E-2</v>
      </c>
      <c r="V537" s="535"/>
    </row>
    <row r="538" spans="1:22">
      <c r="A538" s="530"/>
      <c r="B538" s="531" t="s">
        <v>774</v>
      </c>
      <c r="C538" s="532">
        <v>3.1926311652860785E-2</v>
      </c>
      <c r="D538" s="533">
        <v>4.8929663608562695E-4</v>
      </c>
      <c r="E538" s="533">
        <v>2.3425942053589738E-2</v>
      </c>
      <c r="F538" s="533">
        <v>0</v>
      </c>
      <c r="G538" s="533">
        <v>0</v>
      </c>
      <c r="H538" s="533">
        <v>0</v>
      </c>
      <c r="I538" s="533">
        <v>0</v>
      </c>
      <c r="J538" s="534">
        <v>2.8695080478362708E-2</v>
      </c>
      <c r="K538" s="534">
        <v>0</v>
      </c>
      <c r="L538" s="533">
        <v>0</v>
      </c>
      <c r="M538" s="533">
        <v>0</v>
      </c>
      <c r="N538" s="533">
        <v>0</v>
      </c>
      <c r="O538" s="534">
        <v>0</v>
      </c>
      <c r="P538" s="534">
        <v>0</v>
      </c>
      <c r="Q538" s="533">
        <v>0</v>
      </c>
      <c r="R538" s="534">
        <v>0</v>
      </c>
      <c r="S538" s="534">
        <v>0</v>
      </c>
      <c r="T538" s="534">
        <v>0</v>
      </c>
      <c r="U538" s="534">
        <v>2.8695080478362708E-2</v>
      </c>
      <c r="V538" s="535"/>
    </row>
    <row r="539" spans="1:22">
      <c r="A539" s="530"/>
      <c r="B539" s="536" t="s">
        <v>775</v>
      </c>
      <c r="C539" s="537">
        <v>-0.15190957389349391</v>
      </c>
      <c r="D539" s="538">
        <v>-0.14728502796646897</v>
      </c>
      <c r="E539" s="538">
        <v>0.18806472145165182</v>
      </c>
      <c r="F539" s="538">
        <v>0</v>
      </c>
      <c r="G539" s="538">
        <v>0</v>
      </c>
      <c r="H539" s="538">
        <v>0</v>
      </c>
      <c r="I539" s="538">
        <v>0</v>
      </c>
      <c r="J539" s="540">
        <v>-0.11349930846983464</v>
      </c>
      <c r="K539" s="540">
        <v>0</v>
      </c>
      <c r="L539" s="538">
        <v>0</v>
      </c>
      <c r="M539" s="538">
        <v>0</v>
      </c>
      <c r="N539" s="538">
        <v>0</v>
      </c>
      <c r="O539" s="540">
        <v>0</v>
      </c>
      <c r="P539" s="540">
        <v>0</v>
      </c>
      <c r="Q539" s="538">
        <v>0</v>
      </c>
      <c r="R539" s="540">
        <v>0</v>
      </c>
      <c r="S539" s="540">
        <v>0</v>
      </c>
      <c r="T539" s="540">
        <v>0</v>
      </c>
      <c r="U539" s="540">
        <v>-0.11349930846983464</v>
      </c>
      <c r="V539" s="535"/>
    </row>
    <row r="540" spans="1:22">
      <c r="A540" s="530"/>
      <c r="B540" s="508" t="s">
        <v>776</v>
      </c>
      <c r="C540" s="527">
        <v>3.2434053351400971E-3</v>
      </c>
      <c r="D540" s="528">
        <v>0</v>
      </c>
      <c r="E540" s="528">
        <v>0</v>
      </c>
      <c r="F540" s="528">
        <v>0</v>
      </c>
      <c r="G540" s="528">
        <v>0</v>
      </c>
      <c r="H540" s="528">
        <v>0</v>
      </c>
      <c r="I540" s="528">
        <v>0</v>
      </c>
      <c r="J540" s="529">
        <v>2.6599400614465874E-3</v>
      </c>
      <c r="K540" s="529">
        <v>0</v>
      </c>
      <c r="L540" s="528">
        <v>0</v>
      </c>
      <c r="M540" s="528">
        <v>0</v>
      </c>
      <c r="N540" s="528">
        <v>0</v>
      </c>
      <c r="O540" s="529">
        <v>0</v>
      </c>
      <c r="P540" s="529">
        <v>0</v>
      </c>
      <c r="Q540" s="528">
        <v>0</v>
      </c>
      <c r="R540" s="529">
        <v>0</v>
      </c>
      <c r="S540" s="529">
        <v>0</v>
      </c>
      <c r="T540" s="529">
        <v>0</v>
      </c>
      <c r="U540" s="529">
        <v>2.6599400614465874E-3</v>
      </c>
      <c r="V540" s="535"/>
    </row>
    <row r="541" spans="1:22">
      <c r="A541" s="530"/>
      <c r="B541" s="531" t="s">
        <v>777</v>
      </c>
      <c r="C541" s="532">
        <v>2.1691271235261557E-3</v>
      </c>
      <c r="D541" s="533">
        <v>0</v>
      </c>
      <c r="E541" s="533">
        <v>0</v>
      </c>
      <c r="F541" s="533">
        <v>0</v>
      </c>
      <c r="G541" s="533">
        <v>0</v>
      </c>
      <c r="H541" s="533">
        <v>0</v>
      </c>
      <c r="I541" s="533">
        <v>0</v>
      </c>
      <c r="J541" s="534">
        <v>1.7803285029784086E-3</v>
      </c>
      <c r="K541" s="534">
        <v>0</v>
      </c>
      <c r="L541" s="533">
        <v>0</v>
      </c>
      <c r="M541" s="533">
        <v>0</v>
      </c>
      <c r="N541" s="533">
        <v>0</v>
      </c>
      <c r="O541" s="534">
        <v>0</v>
      </c>
      <c r="P541" s="534">
        <v>0</v>
      </c>
      <c r="Q541" s="533">
        <v>0</v>
      </c>
      <c r="R541" s="534">
        <v>0</v>
      </c>
      <c r="S541" s="534">
        <v>0</v>
      </c>
      <c r="T541" s="534">
        <v>0</v>
      </c>
      <c r="U541" s="534">
        <v>1.7803285029784086E-3</v>
      </c>
      <c r="V541" s="535"/>
    </row>
    <row r="542" spans="1:22">
      <c r="A542" s="530"/>
      <c r="B542" s="536" t="s">
        <v>778</v>
      </c>
      <c r="C542" s="537">
        <v>-0.10742782116139413</v>
      </c>
      <c r="D542" s="538">
        <v>0</v>
      </c>
      <c r="E542" s="538">
        <v>0</v>
      </c>
      <c r="F542" s="538">
        <v>0</v>
      </c>
      <c r="G542" s="538">
        <v>0</v>
      </c>
      <c r="H542" s="538">
        <v>0</v>
      </c>
      <c r="I542" s="538">
        <v>0</v>
      </c>
      <c r="J542" s="540">
        <v>-8.7961155846817879E-2</v>
      </c>
      <c r="K542" s="540">
        <v>0</v>
      </c>
      <c r="L542" s="538">
        <v>0</v>
      </c>
      <c r="M542" s="538">
        <v>0</v>
      </c>
      <c r="N542" s="538">
        <v>0</v>
      </c>
      <c r="O542" s="540">
        <v>0</v>
      </c>
      <c r="P542" s="540">
        <v>0</v>
      </c>
      <c r="Q542" s="538">
        <v>0</v>
      </c>
      <c r="R542" s="540">
        <v>0</v>
      </c>
      <c r="S542" s="540">
        <v>0</v>
      </c>
      <c r="T542" s="540">
        <v>0</v>
      </c>
      <c r="U542" s="540">
        <v>-8.7961155846817879E-2</v>
      </c>
      <c r="V542" s="535"/>
    </row>
    <row r="543" spans="1:22">
      <c r="A543" s="530"/>
      <c r="B543" s="508" t="s">
        <v>779</v>
      </c>
      <c r="C543" s="527">
        <v>0</v>
      </c>
      <c r="D543" s="528">
        <v>0</v>
      </c>
      <c r="E543" s="528">
        <v>0</v>
      </c>
      <c r="F543" s="528">
        <v>0</v>
      </c>
      <c r="G543" s="528">
        <v>0</v>
      </c>
      <c r="H543" s="528">
        <v>0</v>
      </c>
      <c r="I543" s="528">
        <v>0</v>
      </c>
      <c r="J543" s="529">
        <v>0</v>
      </c>
      <c r="K543" s="529">
        <v>0</v>
      </c>
      <c r="L543" s="528">
        <v>0</v>
      </c>
      <c r="M543" s="528">
        <v>0</v>
      </c>
      <c r="N543" s="528">
        <v>0</v>
      </c>
      <c r="O543" s="529">
        <v>0</v>
      </c>
      <c r="P543" s="529">
        <v>0</v>
      </c>
      <c r="Q543" s="528">
        <v>0</v>
      </c>
      <c r="R543" s="529">
        <v>0</v>
      </c>
      <c r="S543" s="529">
        <v>0</v>
      </c>
      <c r="T543" s="529">
        <v>0</v>
      </c>
      <c r="U543" s="529">
        <v>0</v>
      </c>
      <c r="V543" s="535"/>
    </row>
    <row r="544" spans="1:22">
      <c r="A544" s="530"/>
      <c r="B544" s="531" t="s">
        <v>780</v>
      </c>
      <c r="C544" s="532">
        <v>0</v>
      </c>
      <c r="D544" s="533">
        <v>0</v>
      </c>
      <c r="E544" s="533">
        <v>0</v>
      </c>
      <c r="F544" s="533">
        <v>0</v>
      </c>
      <c r="G544" s="533">
        <v>0</v>
      </c>
      <c r="H544" s="533">
        <v>0</v>
      </c>
      <c r="I544" s="533">
        <v>0</v>
      </c>
      <c r="J544" s="534">
        <v>0</v>
      </c>
      <c r="K544" s="534">
        <v>0</v>
      </c>
      <c r="L544" s="533">
        <v>0</v>
      </c>
      <c r="M544" s="533">
        <v>0</v>
      </c>
      <c r="N544" s="533">
        <v>0</v>
      </c>
      <c r="O544" s="534">
        <v>0</v>
      </c>
      <c r="P544" s="534">
        <v>0</v>
      </c>
      <c r="Q544" s="533">
        <v>0</v>
      </c>
      <c r="R544" s="534">
        <v>0</v>
      </c>
      <c r="S544" s="534">
        <v>0</v>
      </c>
      <c r="T544" s="534">
        <v>0</v>
      </c>
      <c r="U544" s="534">
        <v>0</v>
      </c>
      <c r="V544" s="535"/>
    </row>
    <row r="545" spans="1:22" ht="15.75" thickBot="1">
      <c r="A545" s="546"/>
      <c r="B545" s="547" t="s">
        <v>781</v>
      </c>
      <c r="C545" s="548">
        <v>0</v>
      </c>
      <c r="D545" s="549">
        <v>0</v>
      </c>
      <c r="E545" s="549">
        <v>0</v>
      </c>
      <c r="F545" s="549">
        <v>0</v>
      </c>
      <c r="G545" s="549">
        <v>0</v>
      </c>
      <c r="H545" s="549">
        <v>0</v>
      </c>
      <c r="I545" s="549">
        <v>0</v>
      </c>
      <c r="J545" s="550">
        <v>0</v>
      </c>
      <c r="K545" s="550">
        <v>0</v>
      </c>
      <c r="L545" s="549">
        <v>0</v>
      </c>
      <c r="M545" s="549">
        <v>0</v>
      </c>
      <c r="N545" s="549">
        <v>0</v>
      </c>
      <c r="O545" s="550">
        <v>0</v>
      </c>
      <c r="P545" s="550">
        <v>0</v>
      </c>
      <c r="Q545" s="549">
        <v>0</v>
      </c>
      <c r="R545" s="550">
        <v>0</v>
      </c>
      <c r="S545" s="550">
        <v>0</v>
      </c>
      <c r="T545" s="550">
        <v>0</v>
      </c>
      <c r="U545" s="550">
        <v>0</v>
      </c>
      <c r="V545" s="535"/>
    </row>
    <row r="546" spans="1:22">
      <c r="A546" s="526" t="s">
        <v>674</v>
      </c>
      <c r="B546" s="508" t="s">
        <v>746</v>
      </c>
      <c r="C546" s="527">
        <v>0.88207429339438881</v>
      </c>
      <c r="D546" s="528">
        <v>0</v>
      </c>
      <c r="E546" s="528">
        <v>0.74461254725500103</v>
      </c>
      <c r="F546" s="528">
        <v>0</v>
      </c>
      <c r="G546" s="528">
        <v>0.82498899611743604</v>
      </c>
      <c r="H546" s="528">
        <v>0.63630152070427859</v>
      </c>
      <c r="I546" s="528">
        <v>0</v>
      </c>
      <c r="J546" s="529">
        <v>0.81268328130509193</v>
      </c>
      <c r="K546" s="529">
        <v>0.68210648757791237</v>
      </c>
      <c r="L546" s="528">
        <v>0</v>
      </c>
      <c r="M546" s="528">
        <v>0</v>
      </c>
      <c r="N546" s="528">
        <v>0.59374050025446512</v>
      </c>
      <c r="O546" s="529">
        <v>0.61471637071208829</v>
      </c>
      <c r="P546" s="529">
        <v>0</v>
      </c>
      <c r="Q546" s="528">
        <v>0</v>
      </c>
      <c r="R546" s="529">
        <v>0</v>
      </c>
      <c r="S546" s="529">
        <v>0</v>
      </c>
      <c r="T546" s="529">
        <v>0</v>
      </c>
      <c r="U546" s="529">
        <v>0.76997012861835723</v>
      </c>
      <c r="V546" s="535"/>
    </row>
    <row r="547" spans="1:22">
      <c r="A547" s="530"/>
      <c r="B547" s="531" t="s">
        <v>747</v>
      </c>
      <c r="C547" s="532">
        <v>0.87792328158582278</v>
      </c>
      <c r="D547" s="533">
        <v>0</v>
      </c>
      <c r="E547" s="533">
        <v>0.72522633119375823</v>
      </c>
      <c r="F547" s="533">
        <v>0</v>
      </c>
      <c r="G547" s="533">
        <v>0.80276831747142841</v>
      </c>
      <c r="H547" s="533">
        <v>0.59485954454798473</v>
      </c>
      <c r="I547" s="533">
        <v>0</v>
      </c>
      <c r="J547" s="534">
        <v>0.79557047375518597</v>
      </c>
      <c r="K547" s="534">
        <v>0.61431555269922877</v>
      </c>
      <c r="L547" s="533">
        <v>0</v>
      </c>
      <c r="M547" s="533">
        <v>0</v>
      </c>
      <c r="N547" s="533">
        <v>0.56363887403924795</v>
      </c>
      <c r="O547" s="534">
        <v>0.57558638192409572</v>
      </c>
      <c r="P547" s="534">
        <v>0</v>
      </c>
      <c r="Q547" s="533">
        <v>0</v>
      </c>
      <c r="R547" s="534">
        <v>0</v>
      </c>
      <c r="S547" s="534">
        <v>0</v>
      </c>
      <c r="T547" s="534">
        <v>0</v>
      </c>
      <c r="U547" s="534">
        <v>0.74848128750448129</v>
      </c>
      <c r="V547" s="535"/>
    </row>
    <row r="548" spans="1:22">
      <c r="A548" s="530"/>
      <c r="B548" s="536" t="s">
        <v>748</v>
      </c>
      <c r="C548" s="537">
        <v>-0.41510118085660297</v>
      </c>
      <c r="D548" s="538">
        <v>0</v>
      </c>
      <c r="E548" s="538">
        <v>-1.93862160612428</v>
      </c>
      <c r="F548" s="538">
        <v>0</v>
      </c>
      <c r="G548" s="538">
        <v>-2.222067864600763</v>
      </c>
      <c r="H548" s="538">
        <v>-4.1441976156293858</v>
      </c>
      <c r="I548" s="538">
        <v>0</v>
      </c>
      <c r="J548" s="540">
        <v>-1.7112807549905962</v>
      </c>
      <c r="K548" s="540">
        <v>-6.7790934878683595</v>
      </c>
      <c r="L548" s="538">
        <v>0</v>
      </c>
      <c r="M548" s="538">
        <v>0</v>
      </c>
      <c r="N548" s="538">
        <v>-3.010162621521717</v>
      </c>
      <c r="O548" s="540">
        <v>-3.9129988787992565</v>
      </c>
      <c r="P548" s="540">
        <v>0</v>
      </c>
      <c r="Q548" s="538">
        <v>0</v>
      </c>
      <c r="R548" s="540">
        <v>0</v>
      </c>
      <c r="S548" s="540">
        <v>0</v>
      </c>
      <c r="T548" s="540">
        <v>0</v>
      </c>
      <c r="U548" s="540">
        <v>-2.1488841113875945</v>
      </c>
      <c r="V548" s="535"/>
    </row>
    <row r="549" spans="1:22">
      <c r="A549" s="530"/>
      <c r="B549" s="508" t="s">
        <v>749</v>
      </c>
      <c r="C549" s="527">
        <v>2.5393818742998312E-3</v>
      </c>
      <c r="D549" s="528">
        <v>0</v>
      </c>
      <c r="E549" s="528">
        <v>8.7982307115416991E-2</v>
      </c>
      <c r="F549" s="528">
        <v>0</v>
      </c>
      <c r="G549" s="528">
        <v>4.2813315026376468E-2</v>
      </c>
      <c r="H549" s="528">
        <v>0.10769161269192327</v>
      </c>
      <c r="I549" s="528">
        <v>0</v>
      </c>
      <c r="J549" s="529">
        <v>4.0673758560293996E-2</v>
      </c>
      <c r="K549" s="529">
        <v>6.5128171363357037E-2</v>
      </c>
      <c r="L549" s="528">
        <v>0</v>
      </c>
      <c r="M549" s="528">
        <v>0</v>
      </c>
      <c r="N549" s="528">
        <v>0.12800106567931932</v>
      </c>
      <c r="O549" s="529">
        <v>0.11307661650590389</v>
      </c>
      <c r="P549" s="529">
        <v>0</v>
      </c>
      <c r="Q549" s="528">
        <v>0</v>
      </c>
      <c r="R549" s="529">
        <v>0</v>
      </c>
      <c r="S549" s="529">
        <v>0</v>
      </c>
      <c r="T549" s="529">
        <v>0</v>
      </c>
      <c r="U549" s="529">
        <v>5.6295330453915736E-2</v>
      </c>
      <c r="V549" s="535"/>
    </row>
    <row r="550" spans="1:22">
      <c r="A550" s="530"/>
      <c r="B550" s="531" t="s">
        <v>750</v>
      </c>
      <c r="C550" s="532">
        <v>5.3148395241253126E-3</v>
      </c>
      <c r="D550" s="533">
        <v>0</v>
      </c>
      <c r="E550" s="533">
        <v>9.768388069822638E-2</v>
      </c>
      <c r="F550" s="533">
        <v>0</v>
      </c>
      <c r="G550" s="533">
        <v>2.9170648969537066E-2</v>
      </c>
      <c r="H550" s="533">
        <v>0.12432532930690615</v>
      </c>
      <c r="I550" s="533">
        <v>0</v>
      </c>
      <c r="J550" s="534">
        <v>4.3570149517696735E-2</v>
      </c>
      <c r="K550" s="534">
        <v>6.7698769739258174E-2</v>
      </c>
      <c r="L550" s="533">
        <v>0</v>
      </c>
      <c r="M550" s="533">
        <v>0</v>
      </c>
      <c r="N550" s="533">
        <v>0.12768134361911909</v>
      </c>
      <c r="O550" s="534">
        <v>0.11353988262891744</v>
      </c>
      <c r="P550" s="534">
        <v>0</v>
      </c>
      <c r="Q550" s="533">
        <v>0</v>
      </c>
      <c r="R550" s="534">
        <v>0</v>
      </c>
      <c r="S550" s="534">
        <v>0</v>
      </c>
      <c r="T550" s="534">
        <v>0</v>
      </c>
      <c r="U550" s="534">
        <v>5.8547677060534792E-2</v>
      </c>
      <c r="V550" s="535"/>
    </row>
    <row r="551" spans="1:22">
      <c r="A551" s="530"/>
      <c r="B551" s="536" t="s">
        <v>751</v>
      </c>
      <c r="C551" s="537">
        <v>0.27754576498254813</v>
      </c>
      <c r="D551" s="538">
        <v>0</v>
      </c>
      <c r="E551" s="538">
        <v>0.97015735828093885</v>
      </c>
      <c r="F551" s="538">
        <v>0</v>
      </c>
      <c r="G551" s="538">
        <v>-1.3642666056839403</v>
      </c>
      <c r="H551" s="538">
        <v>1.6633716614982876</v>
      </c>
      <c r="I551" s="538">
        <v>0</v>
      </c>
      <c r="J551" s="540">
        <v>0.28963909574027391</v>
      </c>
      <c r="K551" s="540">
        <v>0.25705983759011369</v>
      </c>
      <c r="L551" s="538">
        <v>0</v>
      </c>
      <c r="M551" s="538">
        <v>0</v>
      </c>
      <c r="N551" s="538">
        <v>-3.197220602002282E-2</v>
      </c>
      <c r="O551" s="540">
        <v>4.6326612301354764E-2</v>
      </c>
      <c r="P551" s="540">
        <v>0</v>
      </c>
      <c r="Q551" s="538">
        <v>0</v>
      </c>
      <c r="R551" s="540">
        <v>0</v>
      </c>
      <c r="S551" s="540">
        <v>0</v>
      </c>
      <c r="T551" s="540">
        <v>0</v>
      </c>
      <c r="U551" s="540">
        <v>0.22523466066190559</v>
      </c>
      <c r="V551" s="535"/>
    </row>
    <row r="552" spans="1:22">
      <c r="A552" s="530"/>
      <c r="B552" s="508" t="s">
        <v>752</v>
      </c>
      <c r="C552" s="527">
        <v>0.10903250623351586</v>
      </c>
      <c r="D552" s="528">
        <v>0</v>
      </c>
      <c r="E552" s="528">
        <v>0.15267000321410534</v>
      </c>
      <c r="F552" s="528">
        <v>0</v>
      </c>
      <c r="G552" s="528">
        <v>0.1318232283749072</v>
      </c>
      <c r="H552" s="528">
        <v>0.24142098041097979</v>
      </c>
      <c r="I552" s="528">
        <v>0</v>
      </c>
      <c r="J552" s="529">
        <v>0.13897918583685204</v>
      </c>
      <c r="K552" s="529">
        <v>0.22448643666052145</v>
      </c>
      <c r="L552" s="528">
        <v>0</v>
      </c>
      <c r="M552" s="528">
        <v>0</v>
      </c>
      <c r="N552" s="528">
        <v>0.25974908717051892</v>
      </c>
      <c r="O552" s="529">
        <v>0.25137861781353948</v>
      </c>
      <c r="P552" s="529">
        <v>0</v>
      </c>
      <c r="Q552" s="528">
        <v>0</v>
      </c>
      <c r="R552" s="529">
        <v>0</v>
      </c>
      <c r="S552" s="529">
        <v>0</v>
      </c>
      <c r="T552" s="529">
        <v>0</v>
      </c>
      <c r="U552" s="529">
        <v>0.1632303805720805</v>
      </c>
      <c r="V552" s="535"/>
    </row>
    <row r="553" spans="1:22">
      <c r="A553" s="530"/>
      <c r="B553" s="531" t="s">
        <v>753</v>
      </c>
      <c r="C553" s="532">
        <v>0.112955520577825</v>
      </c>
      <c r="D553" s="533">
        <v>0</v>
      </c>
      <c r="E553" s="533">
        <v>0.16275970116098257</v>
      </c>
      <c r="F553" s="533">
        <v>0</v>
      </c>
      <c r="G553" s="533">
        <v>0.1646788805578365</v>
      </c>
      <c r="H553" s="533">
        <v>0.27613891173786154</v>
      </c>
      <c r="I553" s="533">
        <v>0</v>
      </c>
      <c r="J553" s="534">
        <v>0.15504226140910665</v>
      </c>
      <c r="K553" s="534">
        <v>0.31796272493573263</v>
      </c>
      <c r="L553" s="533">
        <v>0</v>
      </c>
      <c r="M553" s="533">
        <v>0</v>
      </c>
      <c r="N553" s="533">
        <v>0.29302806405132037</v>
      </c>
      <c r="O553" s="534">
        <v>0.29890664696953712</v>
      </c>
      <c r="P553" s="534">
        <v>0</v>
      </c>
      <c r="Q553" s="533">
        <v>0</v>
      </c>
      <c r="R553" s="534">
        <v>0</v>
      </c>
      <c r="S553" s="534">
        <v>0</v>
      </c>
      <c r="T553" s="534">
        <v>0</v>
      </c>
      <c r="U553" s="534">
        <v>0.18583747387246927</v>
      </c>
      <c r="V553" s="535"/>
    </row>
    <row r="554" spans="1:22">
      <c r="A554" s="530"/>
      <c r="B554" s="536" t="s">
        <v>754</v>
      </c>
      <c r="C554" s="537">
        <v>0.39230143443091392</v>
      </c>
      <c r="D554" s="538">
        <v>0</v>
      </c>
      <c r="E554" s="538">
        <v>1.0089697946877223</v>
      </c>
      <c r="F554" s="538">
        <v>0</v>
      </c>
      <c r="G554" s="538">
        <v>3.2855652182929296</v>
      </c>
      <c r="H554" s="538">
        <v>3.471793132688175</v>
      </c>
      <c r="I554" s="538">
        <v>0</v>
      </c>
      <c r="J554" s="540">
        <v>1.6063075572254615</v>
      </c>
      <c r="K554" s="540">
        <v>9.3476288275211186</v>
      </c>
      <c r="L554" s="538">
        <v>0</v>
      </c>
      <c r="M554" s="538">
        <v>0</v>
      </c>
      <c r="N554" s="538">
        <v>3.327897688080145</v>
      </c>
      <c r="O554" s="540">
        <v>4.7528029155997631</v>
      </c>
      <c r="P554" s="540">
        <v>0</v>
      </c>
      <c r="Q554" s="538">
        <v>0</v>
      </c>
      <c r="R554" s="540">
        <v>0</v>
      </c>
      <c r="S554" s="540">
        <v>0</v>
      </c>
      <c r="T554" s="540">
        <v>0</v>
      </c>
      <c r="U554" s="540">
        <v>2.2607093300388765</v>
      </c>
      <c r="V554" s="535"/>
    </row>
    <row r="555" spans="1:22">
      <c r="A555" s="530"/>
      <c r="B555" s="508" t="s">
        <v>755</v>
      </c>
      <c r="C555" s="527">
        <v>0</v>
      </c>
      <c r="D555" s="528">
        <v>0</v>
      </c>
      <c r="E555" s="528">
        <v>1.4735142415476682E-2</v>
      </c>
      <c r="F555" s="528">
        <v>0</v>
      </c>
      <c r="G555" s="528">
        <v>3.7446048128026067E-4</v>
      </c>
      <c r="H555" s="528">
        <v>1.4568945558448012E-2</v>
      </c>
      <c r="I555" s="528">
        <v>0</v>
      </c>
      <c r="J555" s="529">
        <v>4.6904247969751954E-3</v>
      </c>
      <c r="K555" s="529">
        <v>0</v>
      </c>
      <c r="L555" s="528">
        <v>0</v>
      </c>
      <c r="M555" s="528">
        <v>0</v>
      </c>
      <c r="N555" s="528">
        <v>1.8509346895696638E-2</v>
      </c>
      <c r="O555" s="529">
        <v>1.4115691887710049E-2</v>
      </c>
      <c r="P555" s="529">
        <v>0</v>
      </c>
      <c r="Q555" s="528">
        <v>0</v>
      </c>
      <c r="R555" s="529">
        <v>0</v>
      </c>
      <c r="S555" s="529">
        <v>0</v>
      </c>
      <c r="T555" s="529">
        <v>0</v>
      </c>
      <c r="U555" s="529">
        <v>6.7240114764555627E-3</v>
      </c>
      <c r="V555" s="535"/>
    </row>
    <row r="556" spans="1:22">
      <c r="A556" s="530"/>
      <c r="B556" s="531" t="s">
        <v>756</v>
      </c>
      <c r="C556" s="532">
        <v>0</v>
      </c>
      <c r="D556" s="533">
        <v>0</v>
      </c>
      <c r="E556" s="533">
        <v>1.433008694703285E-2</v>
      </c>
      <c r="F556" s="533">
        <v>0</v>
      </c>
      <c r="G556" s="533">
        <v>3.3821530011980561E-3</v>
      </c>
      <c r="H556" s="533">
        <v>4.6762144072475687E-3</v>
      </c>
      <c r="I556" s="533">
        <v>0</v>
      </c>
      <c r="J556" s="534">
        <v>4.0618114559000168E-3</v>
      </c>
      <c r="K556" s="534">
        <v>0</v>
      </c>
      <c r="L556" s="533">
        <v>0</v>
      </c>
      <c r="M556" s="533">
        <v>0</v>
      </c>
      <c r="N556" s="533">
        <v>1.5651718290312644E-2</v>
      </c>
      <c r="O556" s="534">
        <v>1.1961677178115623E-2</v>
      </c>
      <c r="P556" s="534">
        <v>0</v>
      </c>
      <c r="Q556" s="533">
        <v>0</v>
      </c>
      <c r="R556" s="534">
        <v>0</v>
      </c>
      <c r="S556" s="534">
        <v>0</v>
      </c>
      <c r="T556" s="534">
        <v>0</v>
      </c>
      <c r="U556" s="534">
        <v>5.7528348624225154E-3</v>
      </c>
      <c r="V556" s="535"/>
    </row>
    <row r="557" spans="1:22">
      <c r="A557" s="530"/>
      <c r="B557" s="536" t="s">
        <v>757</v>
      </c>
      <c r="C557" s="537">
        <v>0</v>
      </c>
      <c r="D557" s="538">
        <v>0</v>
      </c>
      <c r="E557" s="538">
        <v>-4.0505546844383199E-2</v>
      </c>
      <c r="F557" s="538">
        <v>0</v>
      </c>
      <c r="G557" s="538">
        <v>0.30076925199177956</v>
      </c>
      <c r="H557" s="538">
        <v>-0.98927311512004423</v>
      </c>
      <c r="I557" s="538">
        <v>0</v>
      </c>
      <c r="J557" s="540">
        <v>-6.2861334107517861E-2</v>
      </c>
      <c r="K557" s="540">
        <v>0</v>
      </c>
      <c r="L557" s="538">
        <v>0</v>
      </c>
      <c r="M557" s="538">
        <v>0</v>
      </c>
      <c r="N557" s="538">
        <v>-0.28576286053839939</v>
      </c>
      <c r="O557" s="540">
        <v>-0.21540147095944259</v>
      </c>
      <c r="P557" s="540">
        <v>0</v>
      </c>
      <c r="Q557" s="538">
        <v>0</v>
      </c>
      <c r="R557" s="540">
        <v>0</v>
      </c>
      <c r="S557" s="540">
        <v>0</v>
      </c>
      <c r="T557" s="540">
        <v>0</v>
      </c>
      <c r="U557" s="540">
        <v>-9.7117661403304731E-2</v>
      </c>
      <c r="V557" s="535"/>
    </row>
    <row r="558" spans="1:22">
      <c r="A558" s="530"/>
      <c r="B558" s="508" t="s">
        <v>758</v>
      </c>
      <c r="C558" s="527">
        <v>6.353818497795473E-3</v>
      </c>
      <c r="D558" s="528">
        <v>0</v>
      </c>
      <c r="E558" s="528">
        <v>0</v>
      </c>
      <c r="F558" s="528">
        <v>0</v>
      </c>
      <c r="G558" s="528">
        <v>0</v>
      </c>
      <c r="H558" s="528">
        <v>1.6940634370288386E-5</v>
      </c>
      <c r="I558" s="528">
        <v>0</v>
      </c>
      <c r="J558" s="529">
        <v>2.9733495007868735E-3</v>
      </c>
      <c r="K558" s="529">
        <v>2.8278904398209112E-2</v>
      </c>
      <c r="L558" s="528">
        <v>0</v>
      </c>
      <c r="M558" s="528">
        <v>0</v>
      </c>
      <c r="N558" s="528">
        <v>0</v>
      </c>
      <c r="O558" s="529">
        <v>6.71270308075822E-3</v>
      </c>
      <c r="P558" s="529">
        <v>0</v>
      </c>
      <c r="Q558" s="528">
        <v>0</v>
      </c>
      <c r="R558" s="529">
        <v>0</v>
      </c>
      <c r="S558" s="529">
        <v>0</v>
      </c>
      <c r="T558" s="529">
        <v>0</v>
      </c>
      <c r="U558" s="529">
        <v>3.7801488791909155E-3</v>
      </c>
      <c r="V558" s="535"/>
    </row>
    <row r="559" spans="1:22">
      <c r="A559" s="530"/>
      <c r="B559" s="531" t="s">
        <v>759</v>
      </c>
      <c r="C559" s="532">
        <v>3.8063583122268474E-3</v>
      </c>
      <c r="D559" s="533">
        <v>0</v>
      </c>
      <c r="E559" s="533">
        <v>0</v>
      </c>
      <c r="F559" s="533">
        <v>0</v>
      </c>
      <c r="G559" s="533">
        <v>0</v>
      </c>
      <c r="H559" s="533">
        <v>0</v>
      </c>
      <c r="I559" s="533">
        <v>0</v>
      </c>
      <c r="J559" s="534">
        <v>1.7553038621106387E-3</v>
      </c>
      <c r="K559" s="534">
        <v>2.2952625780389275E-5</v>
      </c>
      <c r="L559" s="533">
        <v>0</v>
      </c>
      <c r="M559" s="533">
        <v>0</v>
      </c>
      <c r="N559" s="533">
        <v>0</v>
      </c>
      <c r="O559" s="534">
        <v>5.411299334139617E-6</v>
      </c>
      <c r="P559" s="534">
        <v>0</v>
      </c>
      <c r="Q559" s="533">
        <v>0</v>
      </c>
      <c r="R559" s="534">
        <v>0</v>
      </c>
      <c r="S559" s="534">
        <v>0</v>
      </c>
      <c r="T559" s="534">
        <v>0</v>
      </c>
      <c r="U559" s="534">
        <v>1.3807267000921449E-3</v>
      </c>
      <c r="V559" s="535"/>
    </row>
    <row r="560" spans="1:22">
      <c r="A560" s="530"/>
      <c r="B560" s="536" t="s">
        <v>760</v>
      </c>
      <c r="C560" s="537">
        <v>-0.25474601855686257</v>
      </c>
      <c r="D560" s="538">
        <v>0</v>
      </c>
      <c r="E560" s="538">
        <v>0</v>
      </c>
      <c r="F560" s="538">
        <v>0</v>
      </c>
      <c r="G560" s="538">
        <v>0</v>
      </c>
      <c r="H560" s="538">
        <v>-1.6940634370288387E-3</v>
      </c>
      <c r="I560" s="538">
        <v>0</v>
      </c>
      <c r="J560" s="540">
        <v>-0.12180456386762348</v>
      </c>
      <c r="K560" s="540">
        <v>-2.8255951772428722</v>
      </c>
      <c r="L560" s="538">
        <v>0</v>
      </c>
      <c r="M560" s="538">
        <v>0</v>
      </c>
      <c r="N560" s="538">
        <v>0</v>
      </c>
      <c r="O560" s="540">
        <v>-0.67072917814240807</v>
      </c>
      <c r="P560" s="540">
        <v>0</v>
      </c>
      <c r="Q560" s="538">
        <v>0</v>
      </c>
      <c r="R560" s="540">
        <v>0</v>
      </c>
      <c r="S560" s="540">
        <v>0</v>
      </c>
      <c r="T560" s="540">
        <v>0</v>
      </c>
      <c r="U560" s="540">
        <v>-0.23994221790987705</v>
      </c>
      <c r="V560" s="535"/>
    </row>
    <row r="561" spans="1:22">
      <c r="A561" s="530"/>
      <c r="B561" s="508" t="s">
        <v>761</v>
      </c>
      <c r="C561" s="527">
        <v>0</v>
      </c>
      <c r="D561" s="528">
        <v>0</v>
      </c>
      <c r="E561" s="528">
        <v>0</v>
      </c>
      <c r="F561" s="528">
        <v>0</v>
      </c>
      <c r="G561" s="528">
        <v>0</v>
      </c>
      <c r="H561" s="528">
        <v>0</v>
      </c>
      <c r="I561" s="528">
        <v>0</v>
      </c>
      <c r="J561" s="529">
        <v>0</v>
      </c>
      <c r="K561" s="529">
        <v>0</v>
      </c>
      <c r="L561" s="528">
        <v>0</v>
      </c>
      <c r="M561" s="528">
        <v>0</v>
      </c>
      <c r="N561" s="528">
        <v>0</v>
      </c>
      <c r="O561" s="529">
        <v>0</v>
      </c>
      <c r="P561" s="529">
        <v>0</v>
      </c>
      <c r="Q561" s="528">
        <v>0</v>
      </c>
      <c r="R561" s="529">
        <v>0</v>
      </c>
      <c r="S561" s="529">
        <v>0</v>
      </c>
      <c r="T561" s="529">
        <v>0</v>
      </c>
      <c r="U561" s="529">
        <v>0</v>
      </c>
      <c r="V561" s="535"/>
    </row>
    <row r="562" spans="1:22">
      <c r="A562" s="530"/>
      <c r="B562" s="531" t="s">
        <v>762</v>
      </c>
      <c r="C562" s="532">
        <v>0</v>
      </c>
      <c r="D562" s="533">
        <v>0</v>
      </c>
      <c r="E562" s="533">
        <v>0</v>
      </c>
      <c r="F562" s="533">
        <v>0</v>
      </c>
      <c r="G562" s="533">
        <v>0</v>
      </c>
      <c r="H562" s="533">
        <v>0</v>
      </c>
      <c r="I562" s="533">
        <v>0</v>
      </c>
      <c r="J562" s="534">
        <v>0</v>
      </c>
      <c r="K562" s="534">
        <v>0</v>
      </c>
      <c r="L562" s="533">
        <v>0</v>
      </c>
      <c r="M562" s="533">
        <v>0</v>
      </c>
      <c r="N562" s="533">
        <v>0</v>
      </c>
      <c r="O562" s="534">
        <v>0</v>
      </c>
      <c r="P562" s="534">
        <v>0</v>
      </c>
      <c r="Q562" s="533">
        <v>0</v>
      </c>
      <c r="R562" s="534">
        <v>0</v>
      </c>
      <c r="S562" s="534">
        <v>0</v>
      </c>
      <c r="T562" s="534">
        <v>0</v>
      </c>
      <c r="U562" s="534">
        <v>0</v>
      </c>
      <c r="V562" s="535"/>
    </row>
    <row r="563" spans="1:22" ht="15.75" thickBot="1">
      <c r="A563" s="530"/>
      <c r="B563" s="542" t="s">
        <v>763</v>
      </c>
      <c r="C563" s="543">
        <v>0</v>
      </c>
      <c r="D563" s="544">
        <v>0</v>
      </c>
      <c r="E563" s="544">
        <v>0</v>
      </c>
      <c r="F563" s="544">
        <v>0</v>
      </c>
      <c r="G563" s="544">
        <v>0</v>
      </c>
      <c r="H563" s="544">
        <v>0</v>
      </c>
      <c r="I563" s="544">
        <v>0</v>
      </c>
      <c r="J563" s="545">
        <v>0</v>
      </c>
      <c r="K563" s="545">
        <v>0</v>
      </c>
      <c r="L563" s="544">
        <v>0</v>
      </c>
      <c r="M563" s="544">
        <v>0</v>
      </c>
      <c r="N563" s="544">
        <v>0</v>
      </c>
      <c r="O563" s="545">
        <v>0</v>
      </c>
      <c r="P563" s="545">
        <v>0</v>
      </c>
      <c r="Q563" s="544">
        <v>0</v>
      </c>
      <c r="R563" s="545">
        <v>0</v>
      </c>
      <c r="S563" s="545">
        <v>0</v>
      </c>
      <c r="T563" s="545">
        <v>0</v>
      </c>
      <c r="U563" s="545">
        <v>0</v>
      </c>
      <c r="V563" s="535"/>
    </row>
    <row r="564" spans="1:22" ht="15.75" thickTop="1">
      <c r="A564" s="530"/>
      <c r="B564" s="531" t="s">
        <v>764</v>
      </c>
      <c r="C564" s="532">
        <v>0.65761257256993599</v>
      </c>
      <c r="D564" s="533">
        <v>0</v>
      </c>
      <c r="E564" s="533">
        <v>0.52908715311384946</v>
      </c>
      <c r="F564" s="533">
        <v>0</v>
      </c>
      <c r="G564" s="533">
        <v>0.43355209187858901</v>
      </c>
      <c r="H564" s="533">
        <v>0.68521462639109698</v>
      </c>
      <c r="I564" s="533">
        <v>0</v>
      </c>
      <c r="J564" s="534">
        <v>0.58289307219920616</v>
      </c>
      <c r="K564" s="534">
        <v>0</v>
      </c>
      <c r="L564" s="533">
        <v>0</v>
      </c>
      <c r="M564" s="533">
        <v>0</v>
      </c>
      <c r="N564" s="533">
        <v>0</v>
      </c>
      <c r="O564" s="534">
        <v>0</v>
      </c>
      <c r="P564" s="534">
        <v>0</v>
      </c>
      <c r="Q564" s="533">
        <v>0</v>
      </c>
      <c r="R564" s="534">
        <v>0</v>
      </c>
      <c r="S564" s="534">
        <v>0</v>
      </c>
      <c r="T564" s="534">
        <v>0</v>
      </c>
      <c r="U564" s="534">
        <v>0.58289307219920616</v>
      </c>
      <c r="V564" s="535"/>
    </row>
    <row r="565" spans="1:22">
      <c r="A565" s="530"/>
      <c r="B565" s="531" t="s">
        <v>765</v>
      </c>
      <c r="C565" s="532">
        <v>0.67397260273972603</v>
      </c>
      <c r="D565" s="533">
        <v>0</v>
      </c>
      <c r="E565" s="533">
        <v>0.51809433850876674</v>
      </c>
      <c r="F565" s="533">
        <v>0</v>
      </c>
      <c r="G565" s="533">
        <v>0.40743564445241726</v>
      </c>
      <c r="H565" s="533">
        <v>0.70963541666666663</v>
      </c>
      <c r="I565" s="533">
        <v>0</v>
      </c>
      <c r="J565" s="534">
        <v>0.58196730495579785</v>
      </c>
      <c r="K565" s="534">
        <v>0</v>
      </c>
      <c r="L565" s="533">
        <v>0</v>
      </c>
      <c r="M565" s="533">
        <v>0</v>
      </c>
      <c r="N565" s="533">
        <v>0</v>
      </c>
      <c r="O565" s="534">
        <v>0</v>
      </c>
      <c r="P565" s="534">
        <v>0</v>
      </c>
      <c r="Q565" s="533">
        <v>0</v>
      </c>
      <c r="R565" s="534">
        <v>0</v>
      </c>
      <c r="S565" s="534">
        <v>0</v>
      </c>
      <c r="T565" s="534">
        <v>0</v>
      </c>
      <c r="U565" s="534">
        <v>0.58196730495579785</v>
      </c>
      <c r="V565" s="535"/>
    </row>
    <row r="566" spans="1:22">
      <c r="A566" s="530"/>
      <c r="B566" s="536" t="s">
        <v>766</v>
      </c>
      <c r="C566" s="537">
        <v>1.6360030169790041</v>
      </c>
      <c r="D566" s="538">
        <v>0</v>
      </c>
      <c r="E566" s="538">
        <v>-1.0992814605082724</v>
      </c>
      <c r="F566" s="538">
        <v>0</v>
      </c>
      <c r="G566" s="538">
        <v>-2.6116447426171749</v>
      </c>
      <c r="H566" s="538">
        <v>2.4420790275569648</v>
      </c>
      <c r="I566" s="538">
        <v>0</v>
      </c>
      <c r="J566" s="540">
        <v>-9.2576724340831529E-2</v>
      </c>
      <c r="K566" s="540">
        <v>0</v>
      </c>
      <c r="L566" s="538">
        <v>0</v>
      </c>
      <c r="M566" s="538">
        <v>0</v>
      </c>
      <c r="N566" s="538">
        <v>0</v>
      </c>
      <c r="O566" s="540">
        <v>0</v>
      </c>
      <c r="P566" s="540">
        <v>0</v>
      </c>
      <c r="Q566" s="538">
        <v>0</v>
      </c>
      <c r="R566" s="540">
        <v>0</v>
      </c>
      <c r="S566" s="540">
        <v>0</v>
      </c>
      <c r="T566" s="540">
        <v>0</v>
      </c>
      <c r="U566" s="540">
        <v>-9.2576724340831529E-2</v>
      </c>
      <c r="V566" s="535"/>
    </row>
    <row r="567" spans="1:22">
      <c r="A567" s="530"/>
      <c r="B567" s="508" t="s">
        <v>767</v>
      </c>
      <c r="C567" s="527">
        <v>4.8760412208211243E-2</v>
      </c>
      <c r="D567" s="528">
        <v>0</v>
      </c>
      <c r="E567" s="528">
        <v>0.23440186065325108</v>
      </c>
      <c r="F567" s="528">
        <v>0</v>
      </c>
      <c r="G567" s="528">
        <v>7.9801294321392768E-2</v>
      </c>
      <c r="H567" s="528">
        <v>4.6104928457869634E-2</v>
      </c>
      <c r="I567" s="528">
        <v>0</v>
      </c>
      <c r="J567" s="529">
        <v>0.12220707929044204</v>
      </c>
      <c r="K567" s="529">
        <v>0</v>
      </c>
      <c r="L567" s="528">
        <v>0</v>
      </c>
      <c r="M567" s="528">
        <v>0</v>
      </c>
      <c r="N567" s="528">
        <v>0</v>
      </c>
      <c r="O567" s="529">
        <v>0</v>
      </c>
      <c r="P567" s="529">
        <v>0</v>
      </c>
      <c r="Q567" s="528">
        <v>0</v>
      </c>
      <c r="R567" s="529">
        <v>0</v>
      </c>
      <c r="S567" s="529">
        <v>0</v>
      </c>
      <c r="T567" s="529">
        <v>0</v>
      </c>
      <c r="U567" s="529">
        <v>0.12220707929044204</v>
      </c>
      <c r="V567" s="535"/>
    </row>
    <row r="568" spans="1:22">
      <c r="A568" s="530"/>
      <c r="B568" s="531" t="s">
        <v>768</v>
      </c>
      <c r="C568" s="532">
        <v>3.9888553517529603E-2</v>
      </c>
      <c r="D568" s="533">
        <v>0</v>
      </c>
      <c r="E568" s="533">
        <v>0.1605761851348958</v>
      </c>
      <c r="F568" s="533">
        <v>0</v>
      </c>
      <c r="G568" s="533">
        <v>5.4892815499147908E-2</v>
      </c>
      <c r="H568" s="533">
        <v>1.3020833333333333E-3</v>
      </c>
      <c r="I568" s="533">
        <v>0</v>
      </c>
      <c r="J568" s="534">
        <v>8.7076605900346216E-2</v>
      </c>
      <c r="K568" s="534">
        <v>0</v>
      </c>
      <c r="L568" s="533">
        <v>0</v>
      </c>
      <c r="M568" s="533">
        <v>0</v>
      </c>
      <c r="N568" s="533">
        <v>0</v>
      </c>
      <c r="O568" s="534">
        <v>0</v>
      </c>
      <c r="P568" s="534">
        <v>0</v>
      </c>
      <c r="Q568" s="533">
        <v>0</v>
      </c>
      <c r="R568" s="534">
        <v>0</v>
      </c>
      <c r="S568" s="534">
        <v>0</v>
      </c>
      <c r="T568" s="534">
        <v>0</v>
      </c>
      <c r="U568" s="534">
        <v>8.7076605900346216E-2</v>
      </c>
      <c r="V568" s="535"/>
    </row>
    <row r="569" spans="1:22">
      <c r="A569" s="530"/>
      <c r="B569" s="536" t="s">
        <v>769</v>
      </c>
      <c r="C569" s="537">
        <v>-0.88718586906816399</v>
      </c>
      <c r="D569" s="538">
        <v>0</v>
      </c>
      <c r="E569" s="538">
        <v>-7.3825675518355283</v>
      </c>
      <c r="F569" s="538">
        <v>0</v>
      </c>
      <c r="G569" s="538">
        <v>-2.4908478822244859</v>
      </c>
      <c r="H569" s="538">
        <v>-4.4802845124536299</v>
      </c>
      <c r="I569" s="538">
        <v>0</v>
      </c>
      <c r="J569" s="540">
        <v>-3.5130473390095824</v>
      </c>
      <c r="K569" s="540">
        <v>0</v>
      </c>
      <c r="L569" s="538">
        <v>0</v>
      </c>
      <c r="M569" s="538">
        <v>0</v>
      </c>
      <c r="N569" s="538">
        <v>0</v>
      </c>
      <c r="O569" s="540">
        <v>0</v>
      </c>
      <c r="P569" s="540">
        <v>0</v>
      </c>
      <c r="Q569" s="538">
        <v>0</v>
      </c>
      <c r="R569" s="540">
        <v>0</v>
      </c>
      <c r="S569" s="540">
        <v>0</v>
      </c>
      <c r="T569" s="540">
        <v>0</v>
      </c>
      <c r="U569" s="540">
        <v>-3.5130473390095824</v>
      </c>
      <c r="V569" s="535"/>
    </row>
    <row r="570" spans="1:22">
      <c r="A570" s="530"/>
      <c r="B570" s="508" t="s">
        <v>770</v>
      </c>
      <c r="C570" s="527">
        <v>0.28871036776084025</v>
      </c>
      <c r="D570" s="528">
        <v>0</v>
      </c>
      <c r="E570" s="528">
        <v>0.22634095604062235</v>
      </c>
      <c r="F570" s="528">
        <v>0</v>
      </c>
      <c r="G570" s="528">
        <v>0.48664661380001822</v>
      </c>
      <c r="H570" s="528">
        <v>0.2686804451510334</v>
      </c>
      <c r="I570" s="528">
        <v>0</v>
      </c>
      <c r="J570" s="529">
        <v>0.28864479206824095</v>
      </c>
      <c r="K570" s="529">
        <v>0</v>
      </c>
      <c r="L570" s="528">
        <v>0</v>
      </c>
      <c r="M570" s="528">
        <v>0</v>
      </c>
      <c r="N570" s="528">
        <v>0</v>
      </c>
      <c r="O570" s="529">
        <v>0</v>
      </c>
      <c r="P570" s="529">
        <v>0</v>
      </c>
      <c r="Q570" s="528">
        <v>0</v>
      </c>
      <c r="R570" s="529">
        <v>0</v>
      </c>
      <c r="S570" s="529">
        <v>0</v>
      </c>
      <c r="T570" s="529">
        <v>0</v>
      </c>
      <c r="U570" s="529">
        <v>0.28864479206824095</v>
      </c>
      <c r="V570" s="535"/>
    </row>
    <row r="571" spans="1:22">
      <c r="A571" s="530"/>
      <c r="B571" s="531" t="s">
        <v>771</v>
      </c>
      <c r="C571" s="532">
        <v>0.27917343858834454</v>
      </c>
      <c r="D571" s="533">
        <v>0</v>
      </c>
      <c r="E571" s="533">
        <v>0.31062931696085955</v>
      </c>
      <c r="F571" s="533">
        <v>0</v>
      </c>
      <c r="G571" s="533">
        <v>0.5371333751906</v>
      </c>
      <c r="H571" s="533">
        <v>0.2890625</v>
      </c>
      <c r="I571" s="533">
        <v>0</v>
      </c>
      <c r="J571" s="534">
        <v>0.32346580914071865</v>
      </c>
      <c r="K571" s="534">
        <v>0</v>
      </c>
      <c r="L571" s="533">
        <v>0</v>
      </c>
      <c r="M571" s="533">
        <v>0</v>
      </c>
      <c r="N571" s="533">
        <v>0</v>
      </c>
      <c r="O571" s="534">
        <v>0</v>
      </c>
      <c r="P571" s="534">
        <v>0</v>
      </c>
      <c r="Q571" s="533">
        <v>0</v>
      </c>
      <c r="R571" s="534">
        <v>0</v>
      </c>
      <c r="S571" s="534">
        <v>0</v>
      </c>
      <c r="T571" s="534">
        <v>0</v>
      </c>
      <c r="U571" s="534">
        <v>0.32346580914071865</v>
      </c>
      <c r="V571" s="535"/>
    </row>
    <row r="572" spans="1:22">
      <c r="A572" s="530"/>
      <c r="B572" s="536" t="s">
        <v>772</v>
      </c>
      <c r="C572" s="537">
        <v>-0.95369291724957117</v>
      </c>
      <c r="D572" s="538">
        <v>0</v>
      </c>
      <c r="E572" s="538">
        <v>8.4288360920237206</v>
      </c>
      <c r="F572" s="538">
        <v>0</v>
      </c>
      <c r="G572" s="538">
        <v>5.0486761390581778</v>
      </c>
      <c r="H572" s="538">
        <v>2.0382054848966602</v>
      </c>
      <c r="I572" s="538">
        <v>0</v>
      </c>
      <c r="J572" s="540">
        <v>3.4821017072477698</v>
      </c>
      <c r="K572" s="540">
        <v>0</v>
      </c>
      <c r="L572" s="538">
        <v>0</v>
      </c>
      <c r="M572" s="538">
        <v>0</v>
      </c>
      <c r="N572" s="538">
        <v>0</v>
      </c>
      <c r="O572" s="540">
        <v>0</v>
      </c>
      <c r="P572" s="540">
        <v>0</v>
      </c>
      <c r="Q572" s="538">
        <v>0</v>
      </c>
      <c r="R572" s="540">
        <v>0</v>
      </c>
      <c r="S572" s="540">
        <v>0</v>
      </c>
      <c r="T572" s="540">
        <v>0</v>
      </c>
      <c r="U572" s="540">
        <v>3.4821017072477698</v>
      </c>
      <c r="V572" s="535"/>
    </row>
    <row r="573" spans="1:22">
      <c r="A573" s="530"/>
      <c r="B573" s="508" t="s">
        <v>773</v>
      </c>
      <c r="C573" s="527">
        <v>0</v>
      </c>
      <c r="D573" s="528">
        <v>0</v>
      </c>
      <c r="E573" s="528">
        <v>1.0170030192277133E-2</v>
      </c>
      <c r="F573" s="528">
        <v>0</v>
      </c>
      <c r="G573" s="528">
        <v>0</v>
      </c>
      <c r="H573" s="528">
        <v>0</v>
      </c>
      <c r="I573" s="528">
        <v>0</v>
      </c>
      <c r="J573" s="529">
        <v>3.8225344924010837E-3</v>
      </c>
      <c r="K573" s="529">
        <v>0</v>
      </c>
      <c r="L573" s="528">
        <v>0</v>
      </c>
      <c r="M573" s="528">
        <v>0</v>
      </c>
      <c r="N573" s="528">
        <v>0</v>
      </c>
      <c r="O573" s="529">
        <v>0</v>
      </c>
      <c r="P573" s="529">
        <v>0</v>
      </c>
      <c r="Q573" s="528">
        <v>0</v>
      </c>
      <c r="R573" s="529">
        <v>0</v>
      </c>
      <c r="S573" s="529">
        <v>0</v>
      </c>
      <c r="T573" s="529">
        <v>0</v>
      </c>
      <c r="U573" s="529">
        <v>3.8225344924010837E-3</v>
      </c>
      <c r="V573" s="535"/>
    </row>
    <row r="574" spans="1:22">
      <c r="A574" s="530"/>
      <c r="B574" s="531" t="s">
        <v>774</v>
      </c>
      <c r="C574" s="532">
        <v>0</v>
      </c>
      <c r="D574" s="533">
        <v>0</v>
      </c>
      <c r="E574" s="533">
        <v>1.0700159395477891E-2</v>
      </c>
      <c r="F574" s="533">
        <v>0</v>
      </c>
      <c r="G574" s="533">
        <v>5.381648578347834E-4</v>
      </c>
      <c r="H574" s="533">
        <v>0</v>
      </c>
      <c r="I574" s="533">
        <v>0</v>
      </c>
      <c r="J574" s="534">
        <v>4.1288978027765018E-3</v>
      </c>
      <c r="K574" s="534">
        <v>0</v>
      </c>
      <c r="L574" s="533">
        <v>0</v>
      </c>
      <c r="M574" s="533">
        <v>0</v>
      </c>
      <c r="N574" s="533">
        <v>0</v>
      </c>
      <c r="O574" s="534">
        <v>0</v>
      </c>
      <c r="P574" s="534">
        <v>0</v>
      </c>
      <c r="Q574" s="533">
        <v>0</v>
      </c>
      <c r="R574" s="534">
        <v>0</v>
      </c>
      <c r="S574" s="534">
        <v>0</v>
      </c>
      <c r="T574" s="534">
        <v>0</v>
      </c>
      <c r="U574" s="534">
        <v>4.1288978027765018E-3</v>
      </c>
      <c r="V574" s="535"/>
    </row>
    <row r="575" spans="1:22">
      <c r="A575" s="530"/>
      <c r="B575" s="536" t="s">
        <v>775</v>
      </c>
      <c r="C575" s="537">
        <v>0</v>
      </c>
      <c r="D575" s="538">
        <v>0</v>
      </c>
      <c r="E575" s="538">
        <v>5.3012920320075728E-2</v>
      </c>
      <c r="F575" s="538">
        <v>0</v>
      </c>
      <c r="G575" s="538">
        <v>0</v>
      </c>
      <c r="H575" s="538">
        <v>0</v>
      </c>
      <c r="I575" s="538">
        <v>0</v>
      </c>
      <c r="J575" s="540">
        <v>3.0636331037541813E-2</v>
      </c>
      <c r="K575" s="540">
        <v>0</v>
      </c>
      <c r="L575" s="538">
        <v>0</v>
      </c>
      <c r="M575" s="538">
        <v>0</v>
      </c>
      <c r="N575" s="538">
        <v>0</v>
      </c>
      <c r="O575" s="540">
        <v>0</v>
      </c>
      <c r="P575" s="540">
        <v>0</v>
      </c>
      <c r="Q575" s="538">
        <v>0</v>
      </c>
      <c r="R575" s="540">
        <v>0</v>
      </c>
      <c r="S575" s="540">
        <v>0</v>
      </c>
      <c r="T575" s="540">
        <v>0</v>
      </c>
      <c r="U575" s="540">
        <v>3.0636331037541813E-2</v>
      </c>
      <c r="V575" s="535"/>
    </row>
    <row r="576" spans="1:22">
      <c r="A576" s="530"/>
      <c r="B576" s="508" t="s">
        <v>776</v>
      </c>
      <c r="C576" s="527">
        <v>4.9166474610125221E-3</v>
      </c>
      <c r="D576" s="528">
        <v>0</v>
      </c>
      <c r="E576" s="528">
        <v>0</v>
      </c>
      <c r="F576" s="528">
        <v>0</v>
      </c>
      <c r="G576" s="528">
        <v>0</v>
      </c>
      <c r="H576" s="528">
        <v>0</v>
      </c>
      <c r="I576" s="528">
        <v>0</v>
      </c>
      <c r="J576" s="529">
        <v>2.4325219497097804E-3</v>
      </c>
      <c r="K576" s="529">
        <v>0</v>
      </c>
      <c r="L576" s="528">
        <v>0</v>
      </c>
      <c r="M576" s="528">
        <v>0</v>
      </c>
      <c r="N576" s="528">
        <v>0</v>
      </c>
      <c r="O576" s="529">
        <v>0</v>
      </c>
      <c r="P576" s="529">
        <v>0</v>
      </c>
      <c r="Q576" s="528">
        <v>0</v>
      </c>
      <c r="R576" s="529">
        <v>0</v>
      </c>
      <c r="S576" s="529">
        <v>0</v>
      </c>
      <c r="T576" s="529">
        <v>0</v>
      </c>
      <c r="U576" s="529">
        <v>2.4325219497097804E-3</v>
      </c>
      <c r="V576" s="535"/>
    </row>
    <row r="577" spans="1:22">
      <c r="A577" s="530"/>
      <c r="B577" s="531" t="s">
        <v>777</v>
      </c>
      <c r="C577" s="532">
        <v>6.9654051543998141E-3</v>
      </c>
      <c r="D577" s="533">
        <v>0</v>
      </c>
      <c r="E577" s="533">
        <v>0</v>
      </c>
      <c r="F577" s="533">
        <v>0</v>
      </c>
      <c r="G577" s="533">
        <v>0</v>
      </c>
      <c r="H577" s="533">
        <v>0</v>
      </c>
      <c r="I577" s="533">
        <v>0</v>
      </c>
      <c r="J577" s="534">
        <v>3.3613822003607883E-3</v>
      </c>
      <c r="K577" s="534">
        <v>0</v>
      </c>
      <c r="L577" s="533">
        <v>0</v>
      </c>
      <c r="M577" s="533">
        <v>0</v>
      </c>
      <c r="N577" s="533">
        <v>0</v>
      </c>
      <c r="O577" s="534">
        <v>0</v>
      </c>
      <c r="P577" s="534">
        <v>0</v>
      </c>
      <c r="Q577" s="533">
        <v>0</v>
      </c>
      <c r="R577" s="534">
        <v>0</v>
      </c>
      <c r="S577" s="534">
        <v>0</v>
      </c>
      <c r="T577" s="534">
        <v>0</v>
      </c>
      <c r="U577" s="534">
        <v>3.3613822003607883E-3</v>
      </c>
      <c r="V577" s="535"/>
    </row>
    <row r="578" spans="1:22">
      <c r="A578" s="530"/>
      <c r="B578" s="536" t="s">
        <v>778</v>
      </c>
      <c r="C578" s="537">
        <v>0.2048757693387292</v>
      </c>
      <c r="D578" s="538">
        <v>0</v>
      </c>
      <c r="E578" s="538">
        <v>0</v>
      </c>
      <c r="F578" s="538">
        <v>0</v>
      </c>
      <c r="G578" s="538">
        <v>0</v>
      </c>
      <c r="H578" s="538">
        <v>0</v>
      </c>
      <c r="I578" s="538">
        <v>0</v>
      </c>
      <c r="J578" s="540">
        <v>9.2886025065100783E-2</v>
      </c>
      <c r="K578" s="540">
        <v>0</v>
      </c>
      <c r="L578" s="538">
        <v>0</v>
      </c>
      <c r="M578" s="538">
        <v>0</v>
      </c>
      <c r="N578" s="538">
        <v>0</v>
      </c>
      <c r="O578" s="540">
        <v>0</v>
      </c>
      <c r="P578" s="540">
        <v>0</v>
      </c>
      <c r="Q578" s="538">
        <v>0</v>
      </c>
      <c r="R578" s="540">
        <v>0</v>
      </c>
      <c r="S578" s="540">
        <v>0</v>
      </c>
      <c r="T578" s="540">
        <v>0</v>
      </c>
      <c r="U578" s="540">
        <v>9.2886025065100783E-2</v>
      </c>
      <c r="V578" s="535"/>
    </row>
    <row r="579" spans="1:22">
      <c r="A579" s="530"/>
      <c r="B579" s="508" t="s">
        <v>779</v>
      </c>
      <c r="C579" s="527">
        <v>0</v>
      </c>
      <c r="D579" s="528">
        <v>0</v>
      </c>
      <c r="E579" s="528">
        <v>0</v>
      </c>
      <c r="F579" s="528">
        <v>0</v>
      </c>
      <c r="G579" s="528">
        <v>0</v>
      </c>
      <c r="H579" s="528">
        <v>0</v>
      </c>
      <c r="I579" s="528">
        <v>0</v>
      </c>
      <c r="J579" s="529">
        <v>0</v>
      </c>
      <c r="K579" s="529">
        <v>0</v>
      </c>
      <c r="L579" s="528">
        <v>0</v>
      </c>
      <c r="M579" s="528">
        <v>0</v>
      </c>
      <c r="N579" s="528">
        <v>0</v>
      </c>
      <c r="O579" s="529">
        <v>0</v>
      </c>
      <c r="P579" s="529">
        <v>0</v>
      </c>
      <c r="Q579" s="528">
        <v>0</v>
      </c>
      <c r="R579" s="529">
        <v>0</v>
      </c>
      <c r="S579" s="529">
        <v>0</v>
      </c>
      <c r="T579" s="529">
        <v>0</v>
      </c>
      <c r="U579" s="529">
        <v>0</v>
      </c>
      <c r="V579" s="535"/>
    </row>
    <row r="580" spans="1:22">
      <c r="A580" s="530"/>
      <c r="B580" s="531" t="s">
        <v>780</v>
      </c>
      <c r="C580" s="532">
        <v>0</v>
      </c>
      <c r="D580" s="533">
        <v>0</v>
      </c>
      <c r="E580" s="533">
        <v>0</v>
      </c>
      <c r="F580" s="533">
        <v>0</v>
      </c>
      <c r="G580" s="533">
        <v>0</v>
      </c>
      <c r="H580" s="533">
        <v>0</v>
      </c>
      <c r="I580" s="533">
        <v>0</v>
      </c>
      <c r="J580" s="534">
        <v>0</v>
      </c>
      <c r="K580" s="534">
        <v>0</v>
      </c>
      <c r="L580" s="533">
        <v>0</v>
      </c>
      <c r="M580" s="533">
        <v>0</v>
      </c>
      <c r="N580" s="533">
        <v>0</v>
      </c>
      <c r="O580" s="534">
        <v>0</v>
      </c>
      <c r="P580" s="534">
        <v>0</v>
      </c>
      <c r="Q580" s="533">
        <v>0</v>
      </c>
      <c r="R580" s="534">
        <v>0</v>
      </c>
      <c r="S580" s="534">
        <v>0</v>
      </c>
      <c r="T580" s="534">
        <v>0</v>
      </c>
      <c r="U580" s="534">
        <v>0</v>
      </c>
      <c r="V580" s="535"/>
    </row>
    <row r="581" spans="1:22" ht="15.75" thickBot="1">
      <c r="A581" s="546"/>
      <c r="B581" s="547" t="s">
        <v>781</v>
      </c>
      <c r="C581" s="548">
        <v>0</v>
      </c>
      <c r="D581" s="549">
        <v>0</v>
      </c>
      <c r="E581" s="549">
        <v>0</v>
      </c>
      <c r="F581" s="549">
        <v>0</v>
      </c>
      <c r="G581" s="549">
        <v>0</v>
      </c>
      <c r="H581" s="549">
        <v>0</v>
      </c>
      <c r="I581" s="549">
        <v>0</v>
      </c>
      <c r="J581" s="550">
        <v>0</v>
      </c>
      <c r="K581" s="550">
        <v>0</v>
      </c>
      <c r="L581" s="549">
        <v>0</v>
      </c>
      <c r="M581" s="549">
        <v>0</v>
      </c>
      <c r="N581" s="549">
        <v>0</v>
      </c>
      <c r="O581" s="550">
        <v>0</v>
      </c>
      <c r="P581" s="550">
        <v>0</v>
      </c>
      <c r="Q581" s="549">
        <v>0</v>
      </c>
      <c r="R581" s="550">
        <v>0</v>
      </c>
      <c r="S581" s="550">
        <v>0</v>
      </c>
      <c r="T581" s="550">
        <v>0</v>
      </c>
      <c r="U581" s="550">
        <v>0</v>
      </c>
      <c r="V581" s="535"/>
    </row>
    <row r="582" spans="1:22">
      <c r="A582" s="526" t="s">
        <v>782</v>
      </c>
      <c r="B582" s="508"/>
      <c r="C582" s="527">
        <v>0.86311486977541318</v>
      </c>
      <c r="D582" s="528">
        <v>0.83130135503259051</v>
      </c>
      <c r="E582" s="528">
        <v>0.78683024723290418</v>
      </c>
      <c r="F582" s="528">
        <v>0.77140969239778789</v>
      </c>
      <c r="G582" s="528">
        <v>0.76994440487578941</v>
      </c>
      <c r="H582" s="528">
        <v>0.78018585841436827</v>
      </c>
      <c r="I582" s="528">
        <v>4.4149382780107452E-2</v>
      </c>
      <c r="J582" s="529">
        <v>0.81292863470800125</v>
      </c>
      <c r="K582" s="529">
        <v>0.70124992536800956</v>
      </c>
      <c r="L582" s="528">
        <v>0.61810629373609305</v>
      </c>
      <c r="M582" s="528">
        <v>0.55428914861622758</v>
      </c>
      <c r="N582" s="528">
        <v>0.5554036681083121</v>
      </c>
      <c r="O582" s="529">
        <v>0.61626433522709867</v>
      </c>
      <c r="P582" s="529">
        <v>0.68438411648563713</v>
      </c>
      <c r="Q582" s="528">
        <v>0.85017280847434806</v>
      </c>
      <c r="R582" s="529">
        <v>0.68738389912749975</v>
      </c>
      <c r="S582" s="529">
        <v>0</v>
      </c>
      <c r="T582" s="529">
        <v>0</v>
      </c>
      <c r="U582" s="529">
        <v>0.72411710325151524</v>
      </c>
      <c r="V582" s="535"/>
    </row>
    <row r="583" spans="1:22">
      <c r="A583" s="530" t="s">
        <v>783</v>
      </c>
      <c r="B583" s="531"/>
      <c r="C583" s="532">
        <v>0.85263390182275567</v>
      </c>
      <c r="D583" s="533">
        <v>0.8178670545020722</v>
      </c>
      <c r="E583" s="533">
        <v>0.77065154111931855</v>
      </c>
      <c r="F583" s="533">
        <v>0.75257308437441139</v>
      </c>
      <c r="G583" s="533">
        <v>0.74224828880397242</v>
      </c>
      <c r="H583" s="533">
        <v>0.75113368348490173</v>
      </c>
      <c r="I583" s="533">
        <v>7.1946379509703992E-2</v>
      </c>
      <c r="J583" s="534">
        <v>0.79924346372158683</v>
      </c>
      <c r="K583" s="534">
        <v>0.68153348259577706</v>
      </c>
      <c r="L583" s="533">
        <v>0.59033929439538757</v>
      </c>
      <c r="M583" s="533">
        <v>0.53572514277211136</v>
      </c>
      <c r="N583" s="533">
        <v>0.53982461203159882</v>
      </c>
      <c r="O583" s="534">
        <v>0.59333649322628979</v>
      </c>
      <c r="P583" s="534">
        <v>0.65691363130081759</v>
      </c>
      <c r="Q583" s="533">
        <v>0.85913429847904099</v>
      </c>
      <c r="R583" s="534">
        <v>0.66027058514592307</v>
      </c>
      <c r="S583" s="534">
        <v>0</v>
      </c>
      <c r="T583" s="534">
        <v>0</v>
      </c>
      <c r="U583" s="534">
        <v>0.70660396747570697</v>
      </c>
      <c r="V583" s="535"/>
    </row>
    <row r="584" spans="1:22">
      <c r="A584" s="530" t="s">
        <v>784</v>
      </c>
      <c r="B584" s="536"/>
      <c r="C584" s="537">
        <v>-1.0480967952657516</v>
      </c>
      <c r="D584" s="538">
        <v>-1.3434300530518306</v>
      </c>
      <c r="E584" s="538">
        <v>-1.6178706113585628</v>
      </c>
      <c r="F584" s="538">
        <v>-1.88366080233765</v>
      </c>
      <c r="G584" s="538">
        <v>-2.769611607181699</v>
      </c>
      <c r="H584" s="538">
        <v>-2.9052174929466545</v>
      </c>
      <c r="I584" s="538">
        <v>2.7796996729596541</v>
      </c>
      <c r="J584" s="540">
        <v>-1.3685170986414419</v>
      </c>
      <c r="K584" s="540">
        <v>-1.9716442772232501</v>
      </c>
      <c r="L584" s="538">
        <v>-2.7766999340705478</v>
      </c>
      <c r="M584" s="538">
        <v>-1.8564005844116216</v>
      </c>
      <c r="N584" s="538">
        <v>-1.5579056076713282</v>
      </c>
      <c r="O584" s="540">
        <v>-2.2927842000808885</v>
      </c>
      <c r="P584" s="540">
        <v>-2.7470485184819537</v>
      </c>
      <c r="Q584" s="538">
        <v>0.89614900046929291</v>
      </c>
      <c r="R584" s="540">
        <v>-2.7113313981576681</v>
      </c>
      <c r="S584" s="540">
        <v>0</v>
      </c>
      <c r="T584" s="540">
        <v>0</v>
      </c>
      <c r="U584" s="540">
        <v>-1.7513135775808264</v>
      </c>
      <c r="V584" s="535"/>
    </row>
    <row r="585" spans="1:22">
      <c r="A585" s="530" t="s">
        <v>785</v>
      </c>
      <c r="B585" s="508"/>
      <c r="C585" s="527">
        <v>1.5889764227244793E-2</v>
      </c>
      <c r="D585" s="528">
        <v>2.1149978467683565E-2</v>
      </c>
      <c r="E585" s="528">
        <v>2.1242720458846849E-2</v>
      </c>
      <c r="F585" s="528">
        <v>1.5758611440534288E-2</v>
      </c>
      <c r="G585" s="528">
        <v>2.3309580295343694E-2</v>
      </c>
      <c r="H585" s="528">
        <v>3.0490858149094153E-2</v>
      </c>
      <c r="I585" s="528">
        <v>6.2019160467738053E-2</v>
      </c>
      <c r="J585" s="529">
        <v>1.942688376365162E-2</v>
      </c>
      <c r="K585" s="529">
        <v>3.8602823931876126E-2</v>
      </c>
      <c r="L585" s="528">
        <v>0.10174868228779355</v>
      </c>
      <c r="M585" s="528">
        <v>0.12987857752412768</v>
      </c>
      <c r="N585" s="528">
        <v>0.10708938327224563</v>
      </c>
      <c r="O585" s="529">
        <v>9.476566431033466E-2</v>
      </c>
      <c r="P585" s="529">
        <v>4.0512408351842241E-3</v>
      </c>
      <c r="Q585" s="528">
        <v>5.0899950626150187E-2</v>
      </c>
      <c r="R585" s="529">
        <v>4.8989219691554708E-3</v>
      </c>
      <c r="S585" s="529">
        <v>0</v>
      </c>
      <c r="T585" s="529">
        <v>0</v>
      </c>
      <c r="U585" s="529">
        <v>5.1981718986900523E-2</v>
      </c>
      <c r="V585" s="535"/>
    </row>
    <row r="586" spans="1:22">
      <c r="A586" s="530" t="s">
        <v>786</v>
      </c>
      <c r="B586" s="531"/>
      <c r="C586" s="532">
        <v>1.3158563527580098E-2</v>
      </c>
      <c r="D586" s="533">
        <v>2.2296825616873218E-2</v>
      </c>
      <c r="E586" s="533">
        <v>2.1339151023021141E-2</v>
      </c>
      <c r="F586" s="533">
        <v>1.4225581038206054E-2</v>
      </c>
      <c r="G586" s="533">
        <v>2.5416179196556234E-2</v>
      </c>
      <c r="H586" s="533">
        <v>3.0106182764931919E-2</v>
      </c>
      <c r="I586" s="533">
        <v>5.7128719539130422E-2</v>
      </c>
      <c r="J586" s="534">
        <v>1.8244316939603964E-2</v>
      </c>
      <c r="K586" s="534">
        <v>4.0605119782191536E-2</v>
      </c>
      <c r="L586" s="533">
        <v>0.10843830060505688</v>
      </c>
      <c r="M586" s="533">
        <v>0.12990748889446699</v>
      </c>
      <c r="N586" s="533">
        <v>9.8762093035258347E-2</v>
      </c>
      <c r="O586" s="534">
        <v>9.7673510892009402E-2</v>
      </c>
      <c r="P586" s="534">
        <v>3.9736206319021155E-3</v>
      </c>
      <c r="Q586" s="533">
        <v>4.8192182808036915E-2</v>
      </c>
      <c r="R586" s="534">
        <v>4.7076686122274397E-3</v>
      </c>
      <c r="S586" s="534">
        <v>0</v>
      </c>
      <c r="T586" s="534">
        <v>0</v>
      </c>
      <c r="U586" s="534">
        <v>5.2414341224937294E-2</v>
      </c>
      <c r="V586" s="535"/>
    </row>
    <row r="587" spans="1:22">
      <c r="A587" s="530" t="s">
        <v>787</v>
      </c>
      <c r="B587" s="536"/>
      <c r="C587" s="537">
        <v>-0.27312006996646954</v>
      </c>
      <c r="D587" s="538">
        <v>0.11468471491896531</v>
      </c>
      <c r="E587" s="538">
        <v>9.6430564174292133E-3</v>
      </c>
      <c r="F587" s="538">
        <v>-0.15330304023282343</v>
      </c>
      <c r="G587" s="538">
        <v>0.21065989012125397</v>
      </c>
      <c r="H587" s="538">
        <v>-3.8467538416223426E-2</v>
      </c>
      <c r="I587" s="538">
        <v>-0.48904409286076311</v>
      </c>
      <c r="J587" s="540">
        <v>-0.1182566824047656</v>
      </c>
      <c r="K587" s="540">
        <v>0.20022958503154095</v>
      </c>
      <c r="L587" s="538">
        <v>0.6689618317263335</v>
      </c>
      <c r="M587" s="538">
        <v>2.8911370339307352E-3</v>
      </c>
      <c r="N587" s="538">
        <v>-0.83272902369872781</v>
      </c>
      <c r="O587" s="540">
        <v>0.29078465816747417</v>
      </c>
      <c r="P587" s="540">
        <v>-7.7620203282108627E-3</v>
      </c>
      <c r="Q587" s="538">
        <v>-0.27077678181132714</v>
      </c>
      <c r="R587" s="540">
        <v>-1.9125335692803114E-2</v>
      </c>
      <c r="S587" s="540">
        <v>0</v>
      </c>
      <c r="T587" s="540">
        <v>0</v>
      </c>
      <c r="U587" s="540">
        <v>4.3262223803677141E-2</v>
      </c>
      <c r="V587" s="535"/>
    </row>
    <row r="588" spans="1:22">
      <c r="A588" s="530" t="s">
        <v>788</v>
      </c>
      <c r="B588" s="508"/>
      <c r="C588" s="527">
        <v>0.11500104994071356</v>
      </c>
      <c r="D588" s="528">
        <v>0.13927084305150814</v>
      </c>
      <c r="E588" s="528">
        <v>0.1805644174002852</v>
      </c>
      <c r="F588" s="528">
        <v>0.20931995537499676</v>
      </c>
      <c r="G588" s="528">
        <v>0.18605108081476296</v>
      </c>
      <c r="H588" s="528">
        <v>0.18451449553707902</v>
      </c>
      <c r="I588" s="528">
        <v>0.8924882900391039</v>
      </c>
      <c r="J588" s="529">
        <v>0.15961280315589182</v>
      </c>
      <c r="K588" s="529">
        <v>0.25721760120862053</v>
      </c>
      <c r="L588" s="528">
        <v>0.27785071222335078</v>
      </c>
      <c r="M588" s="528">
        <v>0.29524834891367596</v>
      </c>
      <c r="N588" s="528">
        <v>0.31841708515422062</v>
      </c>
      <c r="O588" s="529">
        <v>0.28102733008979852</v>
      </c>
      <c r="P588" s="529">
        <v>0.30685708097777997</v>
      </c>
      <c r="Q588" s="528">
        <v>9.8927240899501778E-2</v>
      </c>
      <c r="R588" s="529">
        <v>0.30309479588155297</v>
      </c>
      <c r="S588" s="529">
        <v>0</v>
      </c>
      <c r="T588" s="529">
        <v>0</v>
      </c>
      <c r="U588" s="529">
        <v>0.21598825004232763</v>
      </c>
      <c r="V588" s="535"/>
    </row>
    <row r="589" spans="1:22">
      <c r="A589" s="530" t="s">
        <v>789</v>
      </c>
      <c r="B589" s="531"/>
      <c r="C589" s="532">
        <v>0.1285647739522445</v>
      </c>
      <c r="D589" s="533">
        <v>0.15110892134913526</v>
      </c>
      <c r="E589" s="533">
        <v>0.19646541523354968</v>
      </c>
      <c r="F589" s="533">
        <v>0.2294359820446473</v>
      </c>
      <c r="G589" s="533">
        <v>0.21257015428880685</v>
      </c>
      <c r="H589" s="533">
        <v>0.21551812084581046</v>
      </c>
      <c r="I589" s="533">
        <v>0.90134838822349028</v>
      </c>
      <c r="J589" s="534">
        <v>0.17508968589533944</v>
      </c>
      <c r="K589" s="534">
        <v>0.2735412736130986</v>
      </c>
      <c r="L589" s="533">
        <v>0.29864765231933954</v>
      </c>
      <c r="M589" s="533">
        <v>0.31372657836422735</v>
      </c>
      <c r="N589" s="533">
        <v>0.34279812470136362</v>
      </c>
      <c r="O589" s="534">
        <v>0.30067008946743418</v>
      </c>
      <c r="P589" s="534">
        <v>0.33443688209657296</v>
      </c>
      <c r="Q589" s="533">
        <v>9.2673518712922051E-2</v>
      </c>
      <c r="R589" s="534">
        <v>0.33042350174509227</v>
      </c>
      <c r="S589" s="534">
        <v>0</v>
      </c>
      <c r="T589" s="534">
        <v>0</v>
      </c>
      <c r="U589" s="534">
        <v>0.23323541193917463</v>
      </c>
      <c r="V589" s="535"/>
    </row>
    <row r="590" spans="1:22">
      <c r="A590" s="530" t="s">
        <v>790</v>
      </c>
      <c r="B590" s="536"/>
      <c r="C590" s="537">
        <v>1.3563724011530942</v>
      </c>
      <c r="D590" s="538">
        <v>1.1838078297627119</v>
      </c>
      <c r="E590" s="538">
        <v>1.5900997833264485</v>
      </c>
      <c r="F590" s="538">
        <v>2.0116026669650537</v>
      </c>
      <c r="G590" s="538">
        <v>2.6519073474043893</v>
      </c>
      <c r="H590" s="538">
        <v>3.1003625308731437</v>
      </c>
      <c r="I590" s="538">
        <v>0.8860098184386378</v>
      </c>
      <c r="J590" s="540">
        <v>1.5476882739447611</v>
      </c>
      <c r="K590" s="540">
        <v>1.6323672404478073</v>
      </c>
      <c r="L590" s="538">
        <v>2.0796940095988758</v>
      </c>
      <c r="M590" s="538">
        <v>1.8478229450551387</v>
      </c>
      <c r="N590" s="538">
        <v>2.4381039547142991</v>
      </c>
      <c r="O590" s="540">
        <v>1.9642759377635655</v>
      </c>
      <c r="P590" s="540">
        <v>2.757980111879299</v>
      </c>
      <c r="Q590" s="538">
        <v>-0.62537221865797266</v>
      </c>
      <c r="R590" s="540">
        <v>2.7328705863539304</v>
      </c>
      <c r="S590" s="540">
        <v>0</v>
      </c>
      <c r="T590" s="540">
        <v>0</v>
      </c>
      <c r="U590" s="540">
        <v>1.7247161896846996</v>
      </c>
      <c r="V590" s="535"/>
    </row>
    <row r="591" spans="1:22">
      <c r="A591" s="530" t="s">
        <v>791</v>
      </c>
      <c r="B591" s="508"/>
      <c r="C591" s="527">
        <v>3.3188910396430762E-3</v>
      </c>
      <c r="D591" s="528">
        <v>1.1957351562238716E-3</v>
      </c>
      <c r="E591" s="528">
        <v>3.633038173129024E-3</v>
      </c>
      <c r="F591" s="528">
        <v>3.0702427684817651E-3</v>
      </c>
      <c r="G591" s="528">
        <v>1.1551065407472966E-2</v>
      </c>
      <c r="H591" s="528">
        <v>4.7759444389705343E-3</v>
      </c>
      <c r="I591" s="528">
        <v>1.3431667130505334E-3</v>
      </c>
      <c r="J591" s="529">
        <v>3.5162471928173668E-3</v>
      </c>
      <c r="K591" s="529">
        <v>1.4692058728295337E-4</v>
      </c>
      <c r="L591" s="528">
        <v>4.5054598450982691E-4</v>
      </c>
      <c r="M591" s="528">
        <v>1.5559683723673563E-2</v>
      </c>
      <c r="N591" s="528">
        <v>1.7226329174569198E-2</v>
      </c>
      <c r="O591" s="529">
        <v>5.21626125430741E-3</v>
      </c>
      <c r="P591" s="529">
        <v>4.7075617013987367E-3</v>
      </c>
      <c r="Q591" s="528">
        <v>0</v>
      </c>
      <c r="R591" s="529">
        <v>4.6223830217918373E-3</v>
      </c>
      <c r="S591" s="529">
        <v>0</v>
      </c>
      <c r="T591" s="529">
        <v>0</v>
      </c>
      <c r="U591" s="529">
        <v>4.2844453334487803E-3</v>
      </c>
      <c r="V591" s="535"/>
    </row>
    <row r="592" spans="1:22">
      <c r="A592" s="530" t="s">
        <v>792</v>
      </c>
      <c r="B592" s="531"/>
      <c r="C592" s="532">
        <v>3.1237080075914516E-3</v>
      </c>
      <c r="D592" s="533">
        <v>1.2747389989588344E-3</v>
      </c>
      <c r="E592" s="533">
        <v>3.8071919014104226E-3</v>
      </c>
      <c r="F592" s="533">
        <v>2.9240704206651559E-3</v>
      </c>
      <c r="G592" s="533">
        <v>1.0960610089464846E-2</v>
      </c>
      <c r="H592" s="533">
        <v>3.2420129043558921E-3</v>
      </c>
      <c r="I592" s="533">
        <v>1.3109488484538566E-3</v>
      </c>
      <c r="J592" s="534">
        <v>3.3952047097853943E-3</v>
      </c>
      <c r="K592" s="534">
        <v>1.5151697817726405E-4</v>
      </c>
      <c r="L592" s="533">
        <v>4.6771128701729637E-4</v>
      </c>
      <c r="M592" s="533">
        <v>1.5173522596565826E-2</v>
      </c>
      <c r="N592" s="533">
        <v>1.7392050650557891E-2</v>
      </c>
      <c r="O592" s="534">
        <v>5.1371484069565277E-3</v>
      </c>
      <c r="P592" s="534">
        <v>4.6758659707074679E-3</v>
      </c>
      <c r="Q592" s="533">
        <v>0</v>
      </c>
      <c r="R592" s="534">
        <v>4.5982444967572773E-3</v>
      </c>
      <c r="S592" s="534">
        <v>0</v>
      </c>
      <c r="T592" s="534">
        <v>0</v>
      </c>
      <c r="U592" s="534">
        <v>4.1795594894775334E-3</v>
      </c>
      <c r="V592" s="535"/>
    </row>
    <row r="593" spans="1:22">
      <c r="A593" s="530" t="s">
        <v>793</v>
      </c>
      <c r="B593" s="536"/>
      <c r="C593" s="537">
        <v>-1.9518303205162464E-2</v>
      </c>
      <c r="D593" s="538">
        <v>7.9003842734962776E-3</v>
      </c>
      <c r="E593" s="538">
        <v>1.7415372828139854E-2</v>
      </c>
      <c r="F593" s="538">
        <v>-1.4617234781660925E-2</v>
      </c>
      <c r="G593" s="538">
        <v>-5.9045531800811998E-2</v>
      </c>
      <c r="H593" s="538">
        <v>-0.1533931534614642</v>
      </c>
      <c r="I593" s="538">
        <v>-3.2217864596676771E-3</v>
      </c>
      <c r="J593" s="540">
        <v>-1.2104248303197252E-2</v>
      </c>
      <c r="K593" s="540">
        <v>4.5963908943106755E-4</v>
      </c>
      <c r="L593" s="538">
        <v>1.7165302507469462E-3</v>
      </c>
      <c r="M593" s="538">
        <v>-3.8616112710773698E-2</v>
      </c>
      <c r="N593" s="538">
        <v>1.6572147598869352E-2</v>
      </c>
      <c r="O593" s="540">
        <v>-7.9112847350882275E-3</v>
      </c>
      <c r="P593" s="540">
        <v>-3.1695730691268763E-3</v>
      </c>
      <c r="Q593" s="538">
        <v>0</v>
      </c>
      <c r="R593" s="540">
        <v>-2.4138525034560036E-3</v>
      </c>
      <c r="S593" s="540">
        <v>0</v>
      </c>
      <c r="T593" s="540">
        <v>0</v>
      </c>
      <c r="U593" s="540">
        <v>-1.0488584397124693E-2</v>
      </c>
      <c r="V593" s="535"/>
    </row>
    <row r="594" spans="1:22">
      <c r="A594" s="530" t="s">
        <v>794</v>
      </c>
      <c r="B594" s="508"/>
      <c r="C594" s="527">
        <v>2.2199597267668126E-3</v>
      </c>
      <c r="D594" s="528">
        <v>6.0539872771467182E-3</v>
      </c>
      <c r="E594" s="528">
        <v>7.3028923179609363E-3</v>
      </c>
      <c r="F594" s="528">
        <v>2.528009940453196E-4</v>
      </c>
      <c r="G594" s="528">
        <v>9.0625414518419288E-3</v>
      </c>
      <c r="H594" s="528">
        <v>4.5475560675766832E-6</v>
      </c>
      <c r="I594" s="528">
        <v>0</v>
      </c>
      <c r="J594" s="529">
        <v>4.0632272023933408E-3</v>
      </c>
      <c r="K594" s="529">
        <v>2.4503745659882306E-3</v>
      </c>
      <c r="L594" s="528">
        <v>1.8065705926552248E-3</v>
      </c>
      <c r="M594" s="528">
        <v>4.719954898344667E-3</v>
      </c>
      <c r="N594" s="528">
        <v>1.8240206943438777E-3</v>
      </c>
      <c r="O594" s="529">
        <v>2.5687625765694146E-3</v>
      </c>
      <c r="P594" s="529">
        <v>0</v>
      </c>
      <c r="Q594" s="528">
        <v>0</v>
      </c>
      <c r="R594" s="529">
        <v>0</v>
      </c>
      <c r="S594" s="529">
        <v>0</v>
      </c>
      <c r="T594" s="529">
        <v>0</v>
      </c>
      <c r="U594" s="529">
        <v>3.3154874454307728E-3</v>
      </c>
      <c r="V594" s="535"/>
    </row>
    <row r="595" spans="1:22">
      <c r="A595" s="530" t="s">
        <v>795</v>
      </c>
      <c r="B595" s="531"/>
      <c r="C595" s="532">
        <v>1.9921322087770171E-3</v>
      </c>
      <c r="D595" s="533">
        <v>6.2958646673761352E-3</v>
      </c>
      <c r="E595" s="533">
        <v>7.34710329020569E-3</v>
      </c>
      <c r="F595" s="533">
        <v>5.7776324210904897E-4</v>
      </c>
      <c r="G595" s="533">
        <v>8.4703155230686916E-3</v>
      </c>
      <c r="H595" s="533">
        <v>0</v>
      </c>
      <c r="I595" s="533">
        <v>0</v>
      </c>
      <c r="J595" s="534">
        <v>4.0088267778813306E-3</v>
      </c>
      <c r="K595" s="534">
        <v>3.8507585350647886E-3</v>
      </c>
      <c r="L595" s="533">
        <v>2.0505488142693981E-3</v>
      </c>
      <c r="M595" s="533">
        <v>4.950434193252029E-3</v>
      </c>
      <c r="N595" s="533">
        <v>8.413151376995354E-4</v>
      </c>
      <c r="O595" s="534">
        <v>2.9414905609504919E-3</v>
      </c>
      <c r="P595" s="534">
        <v>0</v>
      </c>
      <c r="Q595" s="533">
        <v>0</v>
      </c>
      <c r="R595" s="534">
        <v>0</v>
      </c>
      <c r="S595" s="534">
        <v>0</v>
      </c>
      <c r="T595" s="534">
        <v>0</v>
      </c>
      <c r="U595" s="534">
        <v>3.4519314719402856E-3</v>
      </c>
      <c r="V595" s="535"/>
    </row>
    <row r="596" spans="1:22">
      <c r="A596" s="530" t="s">
        <v>796</v>
      </c>
      <c r="B596" s="536"/>
      <c r="C596" s="537">
        <v>-2.2782751798979546E-2</v>
      </c>
      <c r="D596" s="538">
        <v>2.4187739022941707E-2</v>
      </c>
      <c r="E596" s="538">
        <v>4.4210972244753712E-3</v>
      </c>
      <c r="F596" s="538">
        <v>3.2496224806372938E-2</v>
      </c>
      <c r="G596" s="538">
        <v>-5.9222592877323718E-2</v>
      </c>
      <c r="H596" s="538">
        <v>-4.547556067576683E-4</v>
      </c>
      <c r="I596" s="538">
        <v>0</v>
      </c>
      <c r="J596" s="540">
        <v>-5.4400424512010201E-3</v>
      </c>
      <c r="K596" s="540">
        <v>0.14003839690765579</v>
      </c>
      <c r="L596" s="538">
        <v>2.4397822161417337E-2</v>
      </c>
      <c r="M596" s="538">
        <v>2.30479294907362E-2</v>
      </c>
      <c r="N596" s="538">
        <v>-9.8270555664434239E-2</v>
      </c>
      <c r="O596" s="540">
        <v>3.7272798438107727E-2</v>
      </c>
      <c r="P596" s="540">
        <v>0</v>
      </c>
      <c r="Q596" s="538">
        <v>0</v>
      </c>
      <c r="R596" s="540">
        <v>0</v>
      </c>
      <c r="S596" s="540">
        <v>0</v>
      </c>
      <c r="T596" s="540">
        <v>0</v>
      </c>
      <c r="U596" s="540">
        <v>1.3644402650951279E-2</v>
      </c>
      <c r="V596" s="535"/>
    </row>
    <row r="597" spans="1:22">
      <c r="A597" s="530" t="s">
        <v>797</v>
      </c>
      <c r="B597" s="508"/>
      <c r="C597" s="527">
        <v>4.5546529021862859E-4</v>
      </c>
      <c r="D597" s="528">
        <v>1.0281010148471825E-3</v>
      </c>
      <c r="E597" s="528">
        <v>4.2668441687382369E-4</v>
      </c>
      <c r="F597" s="528">
        <v>1.8869702415394207E-4</v>
      </c>
      <c r="G597" s="528">
        <v>8.132715478906041E-5</v>
      </c>
      <c r="H597" s="528">
        <v>2.8295904420477139E-5</v>
      </c>
      <c r="I597" s="528">
        <v>0</v>
      </c>
      <c r="J597" s="529">
        <v>4.5220397724465177E-4</v>
      </c>
      <c r="K597" s="529">
        <v>3.3235433822260323E-4</v>
      </c>
      <c r="L597" s="528">
        <v>3.7195175597464411E-5</v>
      </c>
      <c r="M597" s="528">
        <v>3.0428632395056003E-4</v>
      </c>
      <c r="N597" s="528">
        <v>3.9513596308726626E-5</v>
      </c>
      <c r="O597" s="529">
        <v>1.5764654189136829E-4</v>
      </c>
      <c r="P597" s="529">
        <v>0</v>
      </c>
      <c r="Q597" s="528">
        <v>0</v>
      </c>
      <c r="R597" s="529">
        <v>0</v>
      </c>
      <c r="S597" s="529">
        <v>0</v>
      </c>
      <c r="T597" s="529">
        <v>0</v>
      </c>
      <c r="U597" s="529">
        <v>3.1299494037693786E-4</v>
      </c>
      <c r="V597" s="535"/>
    </row>
    <row r="598" spans="1:22">
      <c r="A598" s="530" t="s">
        <v>798</v>
      </c>
      <c r="B598" s="531"/>
      <c r="C598" s="532">
        <v>5.2692048105118625E-4</v>
      </c>
      <c r="D598" s="533">
        <v>1.1565948655843095E-3</v>
      </c>
      <c r="E598" s="533">
        <v>3.8959743249443674E-4</v>
      </c>
      <c r="F598" s="533">
        <v>2.6351887996106313E-4</v>
      </c>
      <c r="G598" s="533">
        <v>3.3445209813094912E-4</v>
      </c>
      <c r="H598" s="533">
        <v>0</v>
      </c>
      <c r="I598" s="533">
        <v>0</v>
      </c>
      <c r="J598" s="534">
        <v>5.0286294943489341E-4</v>
      </c>
      <c r="K598" s="534">
        <v>3.1784849569080809E-4</v>
      </c>
      <c r="L598" s="533">
        <v>5.6492578929404274E-5</v>
      </c>
      <c r="M598" s="533">
        <v>5.1683317937642622E-4</v>
      </c>
      <c r="N598" s="533">
        <v>3.8180444352176328E-4</v>
      </c>
      <c r="O598" s="534">
        <v>2.41267446359692E-4</v>
      </c>
      <c r="P598" s="534">
        <v>0</v>
      </c>
      <c r="Q598" s="533">
        <v>0</v>
      </c>
      <c r="R598" s="534">
        <v>0</v>
      </c>
      <c r="S598" s="534">
        <v>0</v>
      </c>
      <c r="T598" s="534">
        <v>0</v>
      </c>
      <c r="U598" s="534">
        <v>3.7755884441304448E-4</v>
      </c>
      <c r="V598" s="535"/>
    </row>
    <row r="599" spans="1:22" ht="15.75" thickBot="1">
      <c r="A599" s="530" t="s">
        <v>799</v>
      </c>
      <c r="B599" s="542"/>
      <c r="C599" s="543">
        <v>7.1455190832557655E-3</v>
      </c>
      <c r="D599" s="544">
        <v>1.2849385073712694E-2</v>
      </c>
      <c r="E599" s="544">
        <v>-3.7086984379386956E-3</v>
      </c>
      <c r="F599" s="544">
        <v>7.4821855807121057E-3</v>
      </c>
      <c r="G599" s="544">
        <v>2.5312494334188872E-2</v>
      </c>
      <c r="H599" s="544">
        <v>-2.8295904420477139E-3</v>
      </c>
      <c r="I599" s="544">
        <v>0</v>
      </c>
      <c r="J599" s="545">
        <v>5.065897219024164E-3</v>
      </c>
      <c r="K599" s="545">
        <v>-1.4505842531795142E-3</v>
      </c>
      <c r="L599" s="544">
        <v>1.9297403331939864E-3</v>
      </c>
      <c r="M599" s="544">
        <v>2.125468554258662E-2</v>
      </c>
      <c r="N599" s="544">
        <v>3.4229084721303669E-2</v>
      </c>
      <c r="O599" s="545">
        <v>8.3620904468323706E-3</v>
      </c>
      <c r="P599" s="545">
        <v>0</v>
      </c>
      <c r="Q599" s="544">
        <v>0</v>
      </c>
      <c r="R599" s="545">
        <v>0</v>
      </c>
      <c r="S599" s="545">
        <v>0</v>
      </c>
      <c r="T599" s="545">
        <v>0</v>
      </c>
      <c r="U599" s="545">
        <v>6.4563904036106616E-3</v>
      </c>
      <c r="V599" s="535"/>
    </row>
    <row r="600" spans="1:22" ht="15.75" thickTop="1">
      <c r="A600" s="530" t="s">
        <v>800</v>
      </c>
      <c r="B600" s="531"/>
      <c r="C600" s="532">
        <v>0.74761854668822891</v>
      </c>
      <c r="D600" s="533">
        <v>0.66473664468737559</v>
      </c>
      <c r="E600" s="533">
        <v>0.45216579004451657</v>
      </c>
      <c r="F600" s="533">
        <v>0.55160875284664979</v>
      </c>
      <c r="G600" s="533">
        <v>0.37507000291212117</v>
      </c>
      <c r="H600" s="533">
        <v>0.43204275682058291</v>
      </c>
      <c r="I600" s="533">
        <v>0.10630743607328304</v>
      </c>
      <c r="J600" s="534">
        <v>0.63138138733210758</v>
      </c>
      <c r="K600" s="534">
        <v>0</v>
      </c>
      <c r="L600" s="533">
        <v>0</v>
      </c>
      <c r="M600" s="533">
        <v>0</v>
      </c>
      <c r="N600" s="533">
        <v>0.13947449768160741</v>
      </c>
      <c r="O600" s="534">
        <v>0.13947449768160741</v>
      </c>
      <c r="P600" s="534">
        <v>0</v>
      </c>
      <c r="Q600" s="533">
        <v>0</v>
      </c>
      <c r="R600" s="534">
        <v>0</v>
      </c>
      <c r="S600" s="534">
        <v>0</v>
      </c>
      <c r="T600" s="534">
        <v>0</v>
      </c>
      <c r="U600" s="534">
        <v>0.63048041228455309</v>
      </c>
      <c r="V600" s="535"/>
    </row>
    <row r="601" spans="1:22">
      <c r="A601" s="530" t="s">
        <v>801</v>
      </c>
      <c r="B601" s="531"/>
      <c r="C601" s="532">
        <v>0.75042040252117215</v>
      </c>
      <c r="D601" s="533">
        <v>0.63583525981394995</v>
      </c>
      <c r="E601" s="533">
        <v>0.42008330303390135</v>
      </c>
      <c r="F601" s="533">
        <v>0.55881273255018882</v>
      </c>
      <c r="G601" s="533">
        <v>0.34124993695362599</v>
      </c>
      <c r="H601" s="533">
        <v>0.39224947362431001</v>
      </c>
      <c r="I601" s="533">
        <v>0.1169459193932513</v>
      </c>
      <c r="J601" s="534">
        <v>0.62246383102310632</v>
      </c>
      <c r="K601" s="534">
        <v>0</v>
      </c>
      <c r="L601" s="533">
        <v>0</v>
      </c>
      <c r="M601" s="533">
        <v>0</v>
      </c>
      <c r="N601" s="533">
        <v>4.8832566136098939E-2</v>
      </c>
      <c r="O601" s="534">
        <v>4.8832566136098939E-2</v>
      </c>
      <c r="P601" s="534">
        <v>0</v>
      </c>
      <c r="Q601" s="533">
        <v>0</v>
      </c>
      <c r="R601" s="534">
        <v>0</v>
      </c>
      <c r="S601" s="534">
        <v>0</v>
      </c>
      <c r="T601" s="534">
        <v>0</v>
      </c>
      <c r="U601" s="534">
        <v>0.6201584602752116</v>
      </c>
      <c r="V601" s="535"/>
    </row>
    <row r="602" spans="1:22">
      <c r="A602" s="530" t="s">
        <v>802</v>
      </c>
      <c r="B602" s="536"/>
      <c r="C602" s="537">
        <v>0.28018558329432341</v>
      </c>
      <c r="D602" s="538">
        <v>-2.890138487342564</v>
      </c>
      <c r="E602" s="538">
        <v>-3.2082487010615224</v>
      </c>
      <c r="F602" s="538">
        <v>0.72039797035390318</v>
      </c>
      <c r="G602" s="538">
        <v>-3.3820065958495182</v>
      </c>
      <c r="H602" s="538">
        <v>-3.9793283196272897</v>
      </c>
      <c r="I602" s="538">
        <v>1.0638483319968264</v>
      </c>
      <c r="J602" s="540">
        <v>-0.89175563090012622</v>
      </c>
      <c r="K602" s="540">
        <v>0</v>
      </c>
      <c r="L602" s="538">
        <v>0</v>
      </c>
      <c r="M602" s="538">
        <v>0</v>
      </c>
      <c r="N602" s="538">
        <v>-9.0641931545508481</v>
      </c>
      <c r="O602" s="540">
        <v>-9.0641931545508481</v>
      </c>
      <c r="P602" s="540">
        <v>0</v>
      </c>
      <c r="Q602" s="538">
        <v>0</v>
      </c>
      <c r="R602" s="540">
        <v>0</v>
      </c>
      <c r="S602" s="540">
        <v>0</v>
      </c>
      <c r="T602" s="540">
        <v>0</v>
      </c>
      <c r="U602" s="540">
        <v>-1.0321952009341495</v>
      </c>
      <c r="V602" s="535"/>
    </row>
    <row r="603" spans="1:22">
      <c r="A603" s="530" t="s">
        <v>803</v>
      </c>
      <c r="B603" s="508"/>
      <c r="C603" s="527">
        <v>7.3221026627894092E-2</v>
      </c>
      <c r="D603" s="528">
        <v>4.4332034413492809E-2</v>
      </c>
      <c r="E603" s="528">
        <v>4.017162183262718E-2</v>
      </c>
      <c r="F603" s="528">
        <v>5.3592922909365973E-2</v>
      </c>
      <c r="G603" s="528">
        <v>2.6464460921574336E-2</v>
      </c>
      <c r="H603" s="528">
        <v>4.7479957740351748E-2</v>
      </c>
      <c r="I603" s="528">
        <v>2.9011462721661604E-2</v>
      </c>
      <c r="J603" s="529">
        <v>5.8764793083796833E-2</v>
      </c>
      <c r="K603" s="529">
        <v>0</v>
      </c>
      <c r="L603" s="528">
        <v>0</v>
      </c>
      <c r="M603" s="528">
        <v>0</v>
      </c>
      <c r="N603" s="528">
        <v>0.60649149922720247</v>
      </c>
      <c r="O603" s="529">
        <v>0.60649149922720247</v>
      </c>
      <c r="P603" s="529">
        <v>0</v>
      </c>
      <c r="Q603" s="528">
        <v>0</v>
      </c>
      <c r="R603" s="529">
        <v>0</v>
      </c>
      <c r="S603" s="529">
        <v>0</v>
      </c>
      <c r="T603" s="529">
        <v>0</v>
      </c>
      <c r="U603" s="529">
        <v>5.9768007524369206E-2</v>
      </c>
      <c r="V603" s="535"/>
    </row>
    <row r="604" spans="1:22">
      <c r="A604" s="530" t="s">
        <v>804</v>
      </c>
      <c r="B604" s="531"/>
      <c r="C604" s="532">
        <v>6.0726879291709251E-2</v>
      </c>
      <c r="D604" s="533">
        <v>3.7852005136521621E-2</v>
      </c>
      <c r="E604" s="533">
        <v>3.5852530148198801E-2</v>
      </c>
      <c r="F604" s="533">
        <v>3.974602127484126E-2</v>
      </c>
      <c r="G604" s="533">
        <v>2.4075903817195717E-2</v>
      </c>
      <c r="H604" s="533">
        <v>5.9750753997609967E-3</v>
      </c>
      <c r="I604" s="533">
        <v>3.6400334873906211E-2</v>
      </c>
      <c r="J604" s="534">
        <v>4.9380284218316382E-2</v>
      </c>
      <c r="K604" s="534">
        <v>0</v>
      </c>
      <c r="L604" s="533">
        <v>0</v>
      </c>
      <c r="M604" s="533">
        <v>0</v>
      </c>
      <c r="N604" s="533">
        <v>0.2576950806943597</v>
      </c>
      <c r="O604" s="534">
        <v>0.2576950806943597</v>
      </c>
      <c r="P604" s="534">
        <v>0</v>
      </c>
      <c r="Q604" s="533">
        <v>0</v>
      </c>
      <c r="R604" s="534">
        <v>0</v>
      </c>
      <c r="S604" s="534">
        <v>0</v>
      </c>
      <c r="T604" s="534">
        <v>0</v>
      </c>
      <c r="U604" s="534">
        <v>5.0217482027337688E-2</v>
      </c>
      <c r="V604" s="535"/>
    </row>
    <row r="605" spans="1:22">
      <c r="A605" s="530" t="s">
        <v>805</v>
      </c>
      <c r="B605" s="536"/>
      <c r="C605" s="537">
        <v>-1.249414733618484</v>
      </c>
      <c r="D605" s="538">
        <v>-0.64800292769711876</v>
      </c>
      <c r="E605" s="538">
        <v>-0.43190916844283789</v>
      </c>
      <c r="F605" s="538">
        <v>-1.3846901634524713</v>
      </c>
      <c r="G605" s="538">
        <v>-0.23885571043786197</v>
      </c>
      <c r="H605" s="538">
        <v>-4.1504882340590754</v>
      </c>
      <c r="I605" s="538">
        <v>0.73888721522446066</v>
      </c>
      <c r="J605" s="540">
        <v>-0.93845088654804509</v>
      </c>
      <c r="K605" s="540">
        <v>0</v>
      </c>
      <c r="L605" s="538">
        <v>0</v>
      </c>
      <c r="M605" s="538">
        <v>0</v>
      </c>
      <c r="N605" s="538">
        <v>-34.879641853284276</v>
      </c>
      <c r="O605" s="540">
        <v>-34.879641853284276</v>
      </c>
      <c r="P605" s="540">
        <v>0</v>
      </c>
      <c r="Q605" s="538">
        <v>0</v>
      </c>
      <c r="R605" s="540">
        <v>0</v>
      </c>
      <c r="S605" s="540">
        <v>0</v>
      </c>
      <c r="T605" s="540">
        <v>0</v>
      </c>
      <c r="U605" s="540">
        <v>-0.95505254970315168</v>
      </c>
      <c r="V605" s="535"/>
    </row>
    <row r="606" spans="1:22">
      <c r="A606" s="530" t="s">
        <v>806</v>
      </c>
      <c r="B606" s="508"/>
      <c r="C606" s="527">
        <v>0.16645547418540932</v>
      </c>
      <c r="D606" s="528">
        <v>0.28044182728481704</v>
      </c>
      <c r="E606" s="528">
        <v>0.49303235788652144</v>
      </c>
      <c r="F606" s="528">
        <v>0.39082161951038735</v>
      </c>
      <c r="G606" s="528">
        <v>0.56137855334781928</v>
      </c>
      <c r="H606" s="528">
        <v>0.52047728543906535</v>
      </c>
      <c r="I606" s="528">
        <v>0.86420691682178896</v>
      </c>
      <c r="J606" s="529">
        <v>0.2973846160296143</v>
      </c>
      <c r="K606" s="529">
        <v>0</v>
      </c>
      <c r="L606" s="528">
        <v>0</v>
      </c>
      <c r="M606" s="528">
        <v>0</v>
      </c>
      <c r="N606" s="528">
        <v>0.25403400309119012</v>
      </c>
      <c r="O606" s="529">
        <v>0.25403400309119012</v>
      </c>
      <c r="P606" s="529">
        <v>0</v>
      </c>
      <c r="Q606" s="528">
        <v>0</v>
      </c>
      <c r="R606" s="529">
        <v>0</v>
      </c>
      <c r="S606" s="529">
        <v>0</v>
      </c>
      <c r="T606" s="529">
        <v>0</v>
      </c>
      <c r="U606" s="529">
        <v>0.29730521518897662</v>
      </c>
      <c r="V606" s="535"/>
    </row>
    <row r="607" spans="1:22">
      <c r="A607" s="530" t="s">
        <v>807</v>
      </c>
      <c r="B607" s="531"/>
      <c r="C607" s="532">
        <v>0.17846197071083306</v>
      </c>
      <c r="D607" s="533">
        <v>0.31742920110773298</v>
      </c>
      <c r="E607" s="533">
        <v>0.5219349938293697</v>
      </c>
      <c r="F607" s="533">
        <v>0.42048201531881479</v>
      </c>
      <c r="G607" s="533">
        <v>0.61367893557783892</v>
      </c>
      <c r="H607" s="533">
        <v>0.60177545097592899</v>
      </c>
      <c r="I607" s="533">
        <v>0.85956321127255908</v>
      </c>
      <c r="J607" s="534">
        <v>0.31803154169284353</v>
      </c>
      <c r="K607" s="534">
        <v>0</v>
      </c>
      <c r="L607" s="533">
        <v>0</v>
      </c>
      <c r="M607" s="533">
        <v>0</v>
      </c>
      <c r="N607" s="533">
        <v>0.14314236592535079</v>
      </c>
      <c r="O607" s="534">
        <v>0.14314236592535079</v>
      </c>
      <c r="P607" s="534">
        <v>0</v>
      </c>
      <c r="Q607" s="533">
        <v>0</v>
      </c>
      <c r="R607" s="534">
        <v>0</v>
      </c>
      <c r="S607" s="534">
        <v>0</v>
      </c>
      <c r="T607" s="534">
        <v>0</v>
      </c>
      <c r="U607" s="534">
        <v>0.31732867834731576</v>
      </c>
      <c r="V607" s="535"/>
    </row>
    <row r="608" spans="1:22">
      <c r="A608" s="530" t="s">
        <v>808</v>
      </c>
      <c r="B608" s="536"/>
      <c r="C608" s="537">
        <v>1.2006496525423738</v>
      </c>
      <c r="D608" s="538">
        <v>3.6987373822915948</v>
      </c>
      <c r="E608" s="538">
        <v>2.8902635942848254</v>
      </c>
      <c r="F608" s="538">
        <v>2.966039580842744</v>
      </c>
      <c r="G608" s="538">
        <v>5.2300382230019649</v>
      </c>
      <c r="H608" s="538">
        <v>8.1298165536863642</v>
      </c>
      <c r="I608" s="538">
        <v>-0.46437055492298818</v>
      </c>
      <c r="J608" s="540">
        <v>2.0646925663229232</v>
      </c>
      <c r="K608" s="540">
        <v>0</v>
      </c>
      <c r="L608" s="538">
        <v>0</v>
      </c>
      <c r="M608" s="538">
        <v>0</v>
      </c>
      <c r="N608" s="538">
        <v>-11.089163716583933</v>
      </c>
      <c r="O608" s="540">
        <v>-11.089163716583933</v>
      </c>
      <c r="P608" s="540">
        <v>0</v>
      </c>
      <c r="Q608" s="538">
        <v>0</v>
      </c>
      <c r="R608" s="540">
        <v>0</v>
      </c>
      <c r="S608" s="540">
        <v>0</v>
      </c>
      <c r="T608" s="540">
        <v>0</v>
      </c>
      <c r="U608" s="540">
        <v>2.0023463158339139</v>
      </c>
      <c r="V608" s="535"/>
    </row>
    <row r="609" spans="1:22">
      <c r="A609" s="530" t="s">
        <v>809</v>
      </c>
      <c r="B609" s="508"/>
      <c r="C609" s="527">
        <v>7.5426369677153715E-3</v>
      </c>
      <c r="D609" s="528">
        <v>2.3089048242790223E-3</v>
      </c>
      <c r="E609" s="528">
        <v>6.7378550635643231E-3</v>
      </c>
      <c r="F609" s="528">
        <v>6.4201653769316597E-3</v>
      </c>
      <c r="G609" s="528">
        <v>6.6665173271208081E-3</v>
      </c>
      <c r="H609" s="528">
        <v>0</v>
      </c>
      <c r="I609" s="528">
        <v>4.741843832663858E-4</v>
      </c>
      <c r="J609" s="529">
        <v>6.4321646029708432E-3</v>
      </c>
      <c r="K609" s="529">
        <v>0</v>
      </c>
      <c r="L609" s="528">
        <v>0</v>
      </c>
      <c r="M609" s="528">
        <v>0</v>
      </c>
      <c r="N609" s="528">
        <v>0</v>
      </c>
      <c r="O609" s="529">
        <v>0</v>
      </c>
      <c r="P609" s="529">
        <v>0</v>
      </c>
      <c r="Q609" s="528">
        <v>0</v>
      </c>
      <c r="R609" s="529">
        <v>0</v>
      </c>
      <c r="S609" s="529">
        <v>0</v>
      </c>
      <c r="T609" s="529">
        <v>0</v>
      </c>
      <c r="U609" s="529">
        <v>6.4203834713563671E-3</v>
      </c>
      <c r="V609" s="535"/>
    </row>
    <row r="610" spans="1:22">
      <c r="A610" s="530" t="s">
        <v>810</v>
      </c>
      <c r="B610" s="531"/>
      <c r="C610" s="532">
        <v>8.3310063957462276E-3</v>
      </c>
      <c r="D610" s="533">
        <v>1.6105252065379677E-3</v>
      </c>
      <c r="E610" s="533">
        <v>7.2574056422924907E-3</v>
      </c>
      <c r="F610" s="533">
        <v>6.9266925043291825E-3</v>
      </c>
      <c r="G610" s="533">
        <v>5.5961375001618002E-3</v>
      </c>
      <c r="H610" s="533">
        <v>0</v>
      </c>
      <c r="I610" s="533">
        <v>1.3341437587684592E-3</v>
      </c>
      <c r="J610" s="534">
        <v>6.9011225582098967E-3</v>
      </c>
      <c r="K610" s="534">
        <v>0</v>
      </c>
      <c r="L610" s="533">
        <v>0</v>
      </c>
      <c r="M610" s="533">
        <v>0</v>
      </c>
      <c r="N610" s="533">
        <v>0</v>
      </c>
      <c r="O610" s="534">
        <v>0</v>
      </c>
      <c r="P610" s="534">
        <v>0</v>
      </c>
      <c r="Q610" s="533">
        <v>0</v>
      </c>
      <c r="R610" s="534">
        <v>0</v>
      </c>
      <c r="S610" s="534">
        <v>0</v>
      </c>
      <c r="T610" s="534">
        <v>0</v>
      </c>
      <c r="U610" s="534">
        <v>6.8733875879473053E-3</v>
      </c>
      <c r="V610" s="535"/>
    </row>
    <row r="611" spans="1:22">
      <c r="A611" s="530" t="s">
        <v>811</v>
      </c>
      <c r="B611" s="536"/>
      <c r="C611" s="537">
        <v>7.8836942803085619E-2</v>
      </c>
      <c r="D611" s="538">
        <v>-6.983796177410545E-2</v>
      </c>
      <c r="E611" s="538">
        <v>5.1955057872816748E-2</v>
      </c>
      <c r="F611" s="538">
        <v>5.0652712739752276E-2</v>
      </c>
      <c r="G611" s="538">
        <v>-0.1070379826959008</v>
      </c>
      <c r="H611" s="538">
        <v>0</v>
      </c>
      <c r="I611" s="538">
        <v>8.5995937550207346E-2</v>
      </c>
      <c r="J611" s="540">
        <v>4.6895795523905354E-2</v>
      </c>
      <c r="K611" s="540">
        <v>0</v>
      </c>
      <c r="L611" s="538">
        <v>0</v>
      </c>
      <c r="M611" s="538">
        <v>0</v>
      </c>
      <c r="N611" s="538">
        <v>0</v>
      </c>
      <c r="O611" s="540">
        <v>0</v>
      </c>
      <c r="P611" s="540">
        <v>0</v>
      </c>
      <c r="Q611" s="538">
        <v>0</v>
      </c>
      <c r="R611" s="540">
        <v>0</v>
      </c>
      <c r="S611" s="540">
        <v>0</v>
      </c>
      <c r="T611" s="540">
        <v>0</v>
      </c>
      <c r="U611" s="540">
        <v>4.530041165909382E-2</v>
      </c>
      <c r="V611" s="535"/>
    </row>
    <row r="612" spans="1:22">
      <c r="A612" s="530" t="s">
        <v>812</v>
      </c>
      <c r="B612" s="508"/>
      <c r="C612" s="527">
        <v>4.1060808214066751E-3</v>
      </c>
      <c r="D612" s="528">
        <v>3.2722355160141664E-3</v>
      </c>
      <c r="E612" s="528">
        <v>6.994415087832378E-3</v>
      </c>
      <c r="F612" s="528">
        <v>1.082843830379576E-4</v>
      </c>
      <c r="G612" s="528">
        <v>2.2893752380099011E-2</v>
      </c>
      <c r="H612" s="528">
        <v>0</v>
      </c>
      <c r="I612" s="528">
        <v>0</v>
      </c>
      <c r="J612" s="529">
        <v>4.6917058763834485E-3</v>
      </c>
      <c r="K612" s="529">
        <v>0</v>
      </c>
      <c r="L612" s="528">
        <v>0</v>
      </c>
      <c r="M612" s="528">
        <v>0</v>
      </c>
      <c r="N612" s="528">
        <v>0</v>
      </c>
      <c r="O612" s="529">
        <v>0</v>
      </c>
      <c r="P612" s="529">
        <v>0</v>
      </c>
      <c r="Q612" s="528">
        <v>0</v>
      </c>
      <c r="R612" s="529">
        <v>0</v>
      </c>
      <c r="S612" s="529">
        <v>0</v>
      </c>
      <c r="T612" s="529">
        <v>0</v>
      </c>
      <c r="U612" s="529">
        <v>4.6831125632706971E-3</v>
      </c>
      <c r="V612" s="535"/>
    </row>
    <row r="613" spans="1:22">
      <c r="A613" s="530" t="s">
        <v>813</v>
      </c>
      <c r="B613" s="531"/>
      <c r="C613" s="532">
        <v>2.7760639907350015E-3</v>
      </c>
      <c r="D613" s="533">
        <v>3.0168205229590766E-3</v>
      </c>
      <c r="E613" s="533">
        <v>7.1343898566860846E-3</v>
      </c>
      <c r="F613" s="533">
        <v>1.3285322924969992E-4</v>
      </c>
      <c r="G613" s="533">
        <v>3.0207061402184088E-2</v>
      </c>
      <c r="H613" s="533">
        <v>0</v>
      </c>
      <c r="I613" s="533">
        <v>0</v>
      </c>
      <c r="J613" s="534">
        <v>4.1635782505369274E-3</v>
      </c>
      <c r="K613" s="534">
        <v>0</v>
      </c>
      <c r="L613" s="533">
        <v>0</v>
      </c>
      <c r="M613" s="533">
        <v>0</v>
      </c>
      <c r="N613" s="533">
        <v>0</v>
      </c>
      <c r="O613" s="534">
        <v>0</v>
      </c>
      <c r="P613" s="534">
        <v>0</v>
      </c>
      <c r="Q613" s="533">
        <v>0</v>
      </c>
      <c r="R613" s="534">
        <v>0</v>
      </c>
      <c r="S613" s="534">
        <v>0</v>
      </c>
      <c r="T613" s="534">
        <v>0</v>
      </c>
      <c r="U613" s="534">
        <v>4.1468452164557922E-3</v>
      </c>
      <c r="V613" s="535"/>
    </row>
    <row r="614" spans="1:22">
      <c r="A614" s="530" t="s">
        <v>814</v>
      </c>
      <c r="B614" s="536"/>
      <c r="C614" s="537">
        <v>-0.13300168306716736</v>
      </c>
      <c r="D614" s="538">
        <v>-2.5541499305508981E-2</v>
      </c>
      <c r="E614" s="538">
        <v>1.3997476885370657E-2</v>
      </c>
      <c r="F614" s="538">
        <v>2.4568846211742322E-3</v>
      </c>
      <c r="G614" s="538">
        <v>0.73133090220850772</v>
      </c>
      <c r="H614" s="538">
        <v>0</v>
      </c>
      <c r="I614" s="538">
        <v>0</v>
      </c>
      <c r="J614" s="540">
        <v>-5.2812762584652104E-2</v>
      </c>
      <c r="K614" s="540">
        <v>0</v>
      </c>
      <c r="L614" s="538">
        <v>0</v>
      </c>
      <c r="M614" s="538">
        <v>0</v>
      </c>
      <c r="N614" s="538">
        <v>0</v>
      </c>
      <c r="O614" s="540">
        <v>0</v>
      </c>
      <c r="P614" s="540">
        <v>0</v>
      </c>
      <c r="Q614" s="538">
        <v>0</v>
      </c>
      <c r="R614" s="540">
        <v>0</v>
      </c>
      <c r="S614" s="540">
        <v>0</v>
      </c>
      <c r="T614" s="540">
        <v>0</v>
      </c>
      <c r="U614" s="540">
        <v>-5.3626734681490491E-2</v>
      </c>
      <c r="V614" s="535"/>
    </row>
    <row r="615" spans="1:22">
      <c r="A615" s="530" t="s">
        <v>815</v>
      </c>
      <c r="B615" s="508"/>
      <c r="C615" s="527">
        <v>1.0562347093456301E-3</v>
      </c>
      <c r="D615" s="528">
        <v>4.9083532740212491E-3</v>
      </c>
      <c r="E615" s="528">
        <v>8.9796008493819163E-4</v>
      </c>
      <c r="F615" s="528">
        <v>8.4744299768836382E-5</v>
      </c>
      <c r="G615" s="528">
        <v>0</v>
      </c>
      <c r="H615" s="528">
        <v>0</v>
      </c>
      <c r="I615" s="528">
        <v>0</v>
      </c>
      <c r="J615" s="529">
        <v>1.3453330751270962E-3</v>
      </c>
      <c r="K615" s="529">
        <v>0</v>
      </c>
      <c r="L615" s="528">
        <v>0</v>
      </c>
      <c r="M615" s="528">
        <v>0</v>
      </c>
      <c r="N615" s="528">
        <v>0</v>
      </c>
      <c r="O615" s="529">
        <v>0</v>
      </c>
      <c r="P615" s="529">
        <v>0</v>
      </c>
      <c r="Q615" s="528">
        <v>0</v>
      </c>
      <c r="R615" s="529">
        <v>0</v>
      </c>
      <c r="S615" s="529">
        <v>0</v>
      </c>
      <c r="T615" s="529">
        <v>0</v>
      </c>
      <c r="U615" s="529">
        <v>1.3428689674741204E-3</v>
      </c>
      <c r="V615" s="535"/>
    </row>
    <row r="616" spans="1:22">
      <c r="A616" s="530" t="s">
        <v>816</v>
      </c>
      <c r="B616" s="531"/>
      <c r="C616" s="532">
        <v>1.1534967002656024E-3</v>
      </c>
      <c r="D616" s="533">
        <v>4.25618821229837E-3</v>
      </c>
      <c r="E616" s="533">
        <v>8.9843580171516599E-4</v>
      </c>
      <c r="F616" s="533">
        <v>1.3743437508589648E-4</v>
      </c>
      <c r="G616" s="533">
        <v>0</v>
      </c>
      <c r="H616" s="533">
        <v>0</v>
      </c>
      <c r="I616" s="533">
        <v>0</v>
      </c>
      <c r="J616" s="534">
        <v>1.3310918266161592E-3</v>
      </c>
      <c r="K616" s="534">
        <v>0</v>
      </c>
      <c r="L616" s="533">
        <v>0</v>
      </c>
      <c r="M616" s="533">
        <v>0</v>
      </c>
      <c r="N616" s="533">
        <v>0</v>
      </c>
      <c r="O616" s="534">
        <v>0</v>
      </c>
      <c r="P616" s="534">
        <v>0</v>
      </c>
      <c r="Q616" s="533">
        <v>0</v>
      </c>
      <c r="R616" s="534">
        <v>0</v>
      </c>
      <c r="S616" s="534">
        <v>0</v>
      </c>
      <c r="T616" s="534">
        <v>0</v>
      </c>
      <c r="U616" s="534">
        <v>1.3257422922590193E-3</v>
      </c>
      <c r="V616" s="535"/>
    </row>
    <row r="617" spans="1:22">
      <c r="A617" s="554" t="s">
        <v>817</v>
      </c>
      <c r="B617" s="536"/>
      <c r="C617" s="537">
        <v>9.7261990919972341E-3</v>
      </c>
      <c r="D617" s="538">
        <v>-6.5216506172287914E-2</v>
      </c>
      <c r="E617" s="538">
        <v>4.7571677697436088E-5</v>
      </c>
      <c r="F617" s="538">
        <v>5.26900753170601E-3</v>
      </c>
      <c r="G617" s="538">
        <v>0</v>
      </c>
      <c r="H617" s="538">
        <v>0</v>
      </c>
      <c r="I617" s="538">
        <v>0</v>
      </c>
      <c r="J617" s="540">
        <v>-1.4241248510936996E-3</v>
      </c>
      <c r="K617" s="540">
        <v>0</v>
      </c>
      <c r="L617" s="538">
        <v>0</v>
      </c>
      <c r="M617" s="538">
        <v>0</v>
      </c>
      <c r="N617" s="538">
        <v>0</v>
      </c>
      <c r="O617" s="540">
        <v>0</v>
      </c>
      <c r="P617" s="540">
        <v>0</v>
      </c>
      <c r="Q617" s="538">
        <v>0</v>
      </c>
      <c r="R617" s="540">
        <v>0</v>
      </c>
      <c r="S617" s="540">
        <v>0</v>
      </c>
      <c r="T617" s="540">
        <v>0</v>
      </c>
      <c r="U617" s="540">
        <v>-1.7126675215101183E-3</v>
      </c>
      <c r="V617" s="535"/>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AG669"/>
  <sheetViews>
    <sheetView topLeftCell="A2" zoomScale="90" zoomScaleNormal="90" zoomScalePageLayoutView="90" workbookViewId="0">
      <pane xSplit="5" ySplit="5" topLeftCell="U7" activePane="bottomRight" state="frozenSplit"/>
      <selection activeCell="A2" sqref="A2 A2"/>
      <selection pane="topRight" activeCell="A2" sqref="A2"/>
      <selection pane="bottomLeft" activeCell="A2" sqref="A2"/>
      <selection pane="bottomRight" activeCell="C373" sqref="C373"/>
    </sheetView>
  </sheetViews>
  <sheetFormatPr defaultColWidth="8.88671875" defaultRowHeight="12.75"/>
  <cols>
    <col min="1" max="1" width="6.44140625" style="61" customWidth="1"/>
    <col min="2" max="2" width="32.109375" style="62" customWidth="1"/>
    <col min="3" max="3" width="35.109375" style="62" customWidth="1"/>
    <col min="4" max="4" width="10.21875" style="61" customWidth="1"/>
    <col min="5" max="5" width="6.77734375" style="61" customWidth="1"/>
    <col min="6" max="6" width="11.88671875" style="29" customWidth="1"/>
    <col min="7" max="7" width="11.88671875" style="63" customWidth="1"/>
    <col min="8" max="8" width="11.33203125" style="29" customWidth="1"/>
    <col min="9" max="9" width="11.33203125" style="63" customWidth="1"/>
    <col min="10" max="11" width="10.77734375" style="29" customWidth="1"/>
    <col min="12" max="12" width="10.44140625" style="29" customWidth="1"/>
    <col min="13" max="13" width="13.44140625" style="64" customWidth="1"/>
    <col min="14" max="14" width="10.44140625" style="64" customWidth="1"/>
    <col min="15" max="15" width="9.88671875" style="64" customWidth="1"/>
    <col min="16" max="16" width="11.44140625" style="29" customWidth="1"/>
    <col min="17" max="17" width="12.21875" style="63" customWidth="1"/>
    <col min="18" max="18" width="9.44140625" style="29" customWidth="1"/>
    <col min="19" max="19" width="9.44140625" style="63" customWidth="1"/>
    <col min="20" max="20" width="10.88671875" style="29" customWidth="1"/>
    <col min="21" max="21" width="10.88671875" style="63" customWidth="1"/>
    <col min="22" max="22" width="10.44140625" style="29" customWidth="1"/>
    <col min="23" max="23" width="10.44140625" style="63" customWidth="1"/>
    <col min="24" max="25" width="10.33203125" style="29" customWidth="1"/>
    <col min="26" max="26" width="8.77734375" style="29" customWidth="1"/>
    <col min="27" max="27" width="11.44140625" style="64" customWidth="1"/>
    <col min="28" max="28" width="12.44140625" style="64" customWidth="1"/>
    <col min="29" max="29" width="10.21875" style="64" customWidth="1"/>
    <col min="30" max="30" width="11.77734375" style="29" customWidth="1"/>
    <col min="31" max="31" width="12.33203125" style="63" customWidth="1"/>
    <col min="32" max="33" width="8.77734375" style="29" customWidth="1"/>
    <col min="34" max="34" width="8.88671875" style="29" customWidth="1"/>
    <col min="35" max="16384" width="8.88671875" style="29"/>
  </cols>
  <sheetData>
    <row r="1" spans="1:33" hidden="1">
      <c r="A1" s="32"/>
      <c r="B1" s="33"/>
      <c r="C1" s="33"/>
      <c r="D1" s="34"/>
      <c r="E1" s="32"/>
      <c r="F1" s="35">
        <f>SUM(H1,J1,L1,M1,N1,R1)</f>
        <v>0</v>
      </c>
      <c r="G1" s="36">
        <f>SUM(I1,K1,O1,P1,Q1,S1)</f>
        <v>0</v>
      </c>
      <c r="H1" s="34"/>
      <c r="I1" s="34"/>
      <c r="J1" s="34"/>
      <c r="K1" s="34"/>
      <c r="L1" s="34"/>
      <c r="M1" s="34"/>
      <c r="N1" s="34"/>
      <c r="O1" s="34"/>
      <c r="P1" s="34"/>
      <c r="Q1" s="34"/>
      <c r="R1" s="34"/>
      <c r="S1" s="34"/>
      <c r="T1" s="37">
        <f>SUM(V1,X1,Z1,AA1,AB1,AF1)</f>
        <v>0</v>
      </c>
      <c r="U1" s="470">
        <f>SUM(W1,Y1,AC1,AD1,AE1,AG1)</f>
        <v>0</v>
      </c>
      <c r="V1" s="34"/>
      <c r="W1" s="34"/>
      <c r="X1" s="34"/>
      <c r="Y1" s="34"/>
      <c r="Z1" s="34"/>
      <c r="AA1" s="34"/>
      <c r="AB1" s="34"/>
      <c r="AC1" s="34"/>
      <c r="AD1" s="34"/>
      <c r="AE1" s="34"/>
      <c r="AF1" s="34"/>
      <c r="AG1" s="34"/>
    </row>
    <row r="2" spans="1:33" s="28" customFormat="1" ht="18" customHeight="1" thickBot="1">
      <c r="A2" s="30" t="s">
        <v>0</v>
      </c>
      <c r="B2" s="30"/>
      <c r="C2" s="30"/>
      <c r="D2" s="30"/>
      <c r="E2" s="30"/>
      <c r="F2" s="24" t="s">
        <v>1</v>
      </c>
      <c r="G2" s="25"/>
      <c r="H2" s="25"/>
      <c r="I2" s="25"/>
      <c r="J2" s="25"/>
      <c r="K2" s="25"/>
      <c r="L2" s="25"/>
      <c r="M2" s="25"/>
      <c r="N2" s="26"/>
      <c r="O2" s="25"/>
      <c r="P2" s="25"/>
      <c r="Q2" s="25"/>
      <c r="R2" s="25"/>
      <c r="S2" s="25"/>
      <c r="T2" s="24" t="s">
        <v>2</v>
      </c>
      <c r="U2" s="25"/>
      <c r="V2" s="25"/>
      <c r="W2" s="25"/>
      <c r="X2" s="25"/>
      <c r="Y2" s="25"/>
      <c r="Z2" s="25"/>
      <c r="AA2" s="25"/>
      <c r="AB2" s="26"/>
      <c r="AC2" s="25"/>
      <c r="AD2" s="25"/>
      <c r="AE2" s="25"/>
      <c r="AF2" s="31"/>
      <c r="AG2" s="25"/>
    </row>
    <row r="3" spans="1:33" s="28" customFormat="1" ht="12.75" customHeight="1" thickTop="1">
      <c r="A3" s="38" t="s">
        <v>929</v>
      </c>
      <c r="B3" s="39"/>
      <c r="C3" s="39"/>
      <c r="D3" s="39"/>
      <c r="E3" s="39"/>
      <c r="F3" s="40" t="s">
        <v>3</v>
      </c>
      <c r="G3" s="41"/>
      <c r="H3" s="23"/>
      <c r="I3" s="22"/>
      <c r="J3" s="23"/>
      <c r="K3" s="22"/>
      <c r="L3" s="471" t="s">
        <v>4</v>
      </c>
      <c r="M3" s="472"/>
      <c r="N3" s="27"/>
      <c r="O3" s="20"/>
      <c r="P3" s="19"/>
      <c r="Q3" s="19"/>
      <c r="R3" s="21"/>
      <c r="S3" s="22"/>
      <c r="T3" s="40" t="s">
        <v>3</v>
      </c>
      <c r="U3" s="41"/>
      <c r="V3" s="23"/>
      <c r="W3" s="22"/>
      <c r="X3" s="23"/>
      <c r="Y3" s="22"/>
      <c r="Z3" s="471" t="s">
        <v>4</v>
      </c>
      <c r="AA3" s="472"/>
      <c r="AB3" s="27"/>
      <c r="AC3" s="20"/>
      <c r="AD3" s="19"/>
      <c r="AE3" s="19"/>
      <c r="AF3" s="21"/>
      <c r="AG3" s="22"/>
    </row>
    <row r="4" spans="1:33" s="28" customFormat="1" ht="118.9" customHeight="1">
      <c r="A4" s="42" t="s">
        <v>5</v>
      </c>
      <c r="B4" s="43"/>
      <c r="C4" s="43"/>
      <c r="D4" s="43"/>
      <c r="E4" s="43"/>
      <c r="F4" s="473" t="s">
        <v>930</v>
      </c>
      <c r="G4" s="18"/>
      <c r="H4" s="474" t="s">
        <v>6</v>
      </c>
      <c r="I4" s="469"/>
      <c r="J4" s="471" t="s">
        <v>7</v>
      </c>
      <c r="K4" s="17"/>
      <c r="L4" s="16" t="s">
        <v>8</v>
      </c>
      <c r="M4" s="16" t="s">
        <v>9</v>
      </c>
      <c r="N4" s="475" t="s">
        <v>10</v>
      </c>
      <c r="O4" s="17" t="s">
        <v>8</v>
      </c>
      <c r="P4" s="17" t="s">
        <v>11</v>
      </c>
      <c r="Q4" s="17" t="s">
        <v>12</v>
      </c>
      <c r="R4" s="476" t="s">
        <v>13</v>
      </c>
      <c r="S4" s="17"/>
      <c r="T4" s="473" t="s">
        <v>931</v>
      </c>
      <c r="U4" s="18"/>
      <c r="V4" s="471" t="s">
        <v>6</v>
      </c>
      <c r="W4" s="17"/>
      <c r="X4" s="471" t="s">
        <v>7</v>
      </c>
      <c r="Y4" s="17"/>
      <c r="Z4" s="16" t="s">
        <v>8</v>
      </c>
      <c r="AA4" s="16" t="s">
        <v>9</v>
      </c>
      <c r="AB4" s="475" t="s">
        <v>10</v>
      </c>
      <c r="AC4" s="17" t="s">
        <v>8</v>
      </c>
      <c r="AD4" s="17" t="s">
        <v>11</v>
      </c>
      <c r="AE4" s="17" t="s">
        <v>12</v>
      </c>
      <c r="AF4" s="476" t="s">
        <v>13</v>
      </c>
      <c r="AG4" s="17"/>
    </row>
    <row r="5" spans="1:33" s="65" customFormat="1" ht="38.25" customHeight="1" thickBot="1">
      <c r="A5" s="44" t="s">
        <v>14</v>
      </c>
      <c r="B5" s="45" t="s">
        <v>15</v>
      </c>
      <c r="C5" s="46" t="s">
        <v>16</v>
      </c>
      <c r="D5" s="47" t="s">
        <v>17</v>
      </c>
      <c r="E5" s="48" t="s">
        <v>18</v>
      </c>
      <c r="F5" s="49">
        <v>2017</v>
      </c>
      <c r="G5" s="477">
        <v>2018</v>
      </c>
      <c r="H5" s="478">
        <v>2017</v>
      </c>
      <c r="I5" s="475">
        <v>2018</v>
      </c>
      <c r="J5" s="478">
        <v>2017</v>
      </c>
      <c r="K5" s="479">
        <v>2018</v>
      </c>
      <c r="L5" s="50">
        <v>2017</v>
      </c>
      <c r="M5" s="478">
        <v>2017</v>
      </c>
      <c r="N5" s="478">
        <v>2017</v>
      </c>
      <c r="O5" s="475">
        <v>2018</v>
      </c>
      <c r="P5" s="475">
        <v>2018</v>
      </c>
      <c r="Q5" s="479">
        <v>2018</v>
      </c>
      <c r="R5" s="50">
        <v>2017</v>
      </c>
      <c r="S5" s="479">
        <v>2018</v>
      </c>
      <c r="T5" s="49">
        <v>2017</v>
      </c>
      <c r="U5" s="477">
        <v>2018</v>
      </c>
      <c r="V5" s="478">
        <v>2017</v>
      </c>
      <c r="W5" s="475">
        <v>2018</v>
      </c>
      <c r="X5" s="478">
        <v>2017</v>
      </c>
      <c r="Y5" s="479">
        <v>2018</v>
      </c>
      <c r="Z5" s="50">
        <v>2017</v>
      </c>
      <c r="AA5" s="478">
        <v>2017</v>
      </c>
      <c r="AB5" s="478">
        <v>2017</v>
      </c>
      <c r="AC5" s="475">
        <v>2018</v>
      </c>
      <c r="AD5" s="475">
        <v>2018</v>
      </c>
      <c r="AE5" s="479">
        <v>2018</v>
      </c>
      <c r="AF5" s="50">
        <v>2017</v>
      </c>
      <c r="AG5" s="16">
        <v>2018</v>
      </c>
    </row>
    <row r="6" spans="1:33" s="28" customFormat="1" ht="40.5" hidden="1" customHeight="1" thickTop="1">
      <c r="A6" s="51" t="s">
        <v>14</v>
      </c>
      <c r="B6" s="52" t="s">
        <v>15</v>
      </c>
      <c r="C6" s="52" t="s">
        <v>19</v>
      </c>
      <c r="D6" s="51" t="s">
        <v>20</v>
      </c>
      <c r="E6" s="51" t="s">
        <v>21</v>
      </c>
      <c r="F6" s="53" t="s">
        <v>22</v>
      </c>
      <c r="G6" s="53" t="s">
        <v>23</v>
      </c>
      <c r="H6" s="53" t="s">
        <v>24</v>
      </c>
      <c r="I6" s="53" t="s">
        <v>25</v>
      </c>
      <c r="J6" s="53" t="s">
        <v>26</v>
      </c>
      <c r="K6" s="53" t="s">
        <v>27</v>
      </c>
      <c r="L6" s="53" t="s">
        <v>28</v>
      </c>
      <c r="M6" s="53" t="s">
        <v>29</v>
      </c>
      <c r="N6" s="53" t="s">
        <v>30</v>
      </c>
      <c r="O6" s="53" t="s">
        <v>31</v>
      </c>
      <c r="P6" s="53" t="s">
        <v>32</v>
      </c>
      <c r="Q6" s="53" t="s">
        <v>33</v>
      </c>
      <c r="R6" s="53" t="s">
        <v>34</v>
      </c>
      <c r="S6" s="53" t="s">
        <v>35</v>
      </c>
      <c r="T6" s="53" t="s">
        <v>36</v>
      </c>
      <c r="U6" s="53" t="s">
        <v>37</v>
      </c>
      <c r="V6" s="53" t="s">
        <v>38</v>
      </c>
      <c r="W6" s="53" t="s">
        <v>39</v>
      </c>
      <c r="X6" s="53" t="s">
        <v>40</v>
      </c>
      <c r="Y6" s="53" t="s">
        <v>41</v>
      </c>
      <c r="Z6" s="53" t="s">
        <v>42</v>
      </c>
      <c r="AA6" s="53" t="s">
        <v>43</v>
      </c>
      <c r="AB6" s="53" t="s">
        <v>44</v>
      </c>
      <c r="AC6" s="53" t="s">
        <v>45</v>
      </c>
      <c r="AD6" s="53" t="s">
        <v>46</v>
      </c>
      <c r="AE6" s="53" t="s">
        <v>47</v>
      </c>
      <c r="AF6" s="53" t="s">
        <v>48</v>
      </c>
      <c r="AG6" s="480" t="s">
        <v>49</v>
      </c>
    </row>
    <row r="7" spans="1:33" s="28" customFormat="1" ht="13.9" customHeight="1" thickTop="1">
      <c r="A7" s="98" t="s">
        <v>50</v>
      </c>
      <c r="B7" s="481" t="s">
        <v>51</v>
      </c>
      <c r="C7" s="15"/>
      <c r="D7" s="55">
        <v>100858</v>
      </c>
      <c r="E7" s="482">
        <v>1</v>
      </c>
      <c r="F7" s="483">
        <f t="shared" ref="F7:F70" si="0">SUM(H7,J7,L7,M7,N7,R7)</f>
        <v>693807</v>
      </c>
      <c r="G7" s="484">
        <f t="shared" ref="G7:G70" si="1">SUM(I7,K7,O7,P7,Q7,S7)</f>
        <v>725986</v>
      </c>
      <c r="H7" s="485">
        <v>648072</v>
      </c>
      <c r="I7" s="486">
        <v>670923</v>
      </c>
      <c r="J7" s="485"/>
      <c r="K7" s="486"/>
      <c r="L7" s="485">
        <v>45735</v>
      </c>
      <c r="M7" s="485"/>
      <c r="N7" s="485"/>
      <c r="O7" s="486">
        <v>55063</v>
      </c>
      <c r="P7" s="486"/>
      <c r="Q7" s="486"/>
      <c r="R7" s="485"/>
      <c r="S7" s="486"/>
      <c r="T7" s="483">
        <f t="shared" ref="T7:T70" si="2">SUM(V7,X7,Z7,AA7,AB7,AF7)</f>
        <v>108134</v>
      </c>
      <c r="U7" s="484">
        <f t="shared" ref="U7:U70" si="3">SUM(W7,Y7,AC7,AD7,AE7,AG7)</f>
        <v>109015</v>
      </c>
      <c r="V7" s="485">
        <v>82672</v>
      </c>
      <c r="W7" s="486">
        <v>83193</v>
      </c>
      <c r="X7" s="485">
        <v>2582</v>
      </c>
      <c r="Y7" s="486">
        <v>2806</v>
      </c>
      <c r="Z7" s="485">
        <v>22880</v>
      </c>
      <c r="AA7" s="485"/>
      <c r="AB7" s="485"/>
      <c r="AC7" s="486">
        <v>23016</v>
      </c>
      <c r="AD7" s="486"/>
      <c r="AE7" s="486"/>
      <c r="AF7" s="485"/>
      <c r="AG7" s="486"/>
    </row>
    <row r="8" spans="1:33">
      <c r="A8" s="98" t="s">
        <v>50</v>
      </c>
      <c r="B8" s="481" t="s">
        <v>52</v>
      </c>
      <c r="C8" s="15"/>
      <c r="D8" s="55">
        <v>100751</v>
      </c>
      <c r="E8" s="482">
        <v>1</v>
      </c>
      <c r="F8" s="483">
        <f t="shared" si="0"/>
        <v>929726</v>
      </c>
      <c r="G8" s="484">
        <f t="shared" si="1"/>
        <v>934991</v>
      </c>
      <c r="H8" s="485">
        <v>840744</v>
      </c>
      <c r="I8" s="486">
        <v>832125</v>
      </c>
      <c r="J8" s="485">
        <v>281</v>
      </c>
      <c r="K8" s="486">
        <v>12267</v>
      </c>
      <c r="L8" s="485">
        <v>86904</v>
      </c>
      <c r="M8" s="485">
        <v>1797</v>
      </c>
      <c r="N8" s="485"/>
      <c r="O8" s="486">
        <v>89392</v>
      </c>
      <c r="P8" s="486">
        <v>1207</v>
      </c>
      <c r="Q8" s="486"/>
      <c r="R8" s="485"/>
      <c r="S8" s="486"/>
      <c r="T8" s="483">
        <f t="shared" si="2"/>
        <v>97386</v>
      </c>
      <c r="U8" s="484">
        <f t="shared" si="3"/>
        <v>99520</v>
      </c>
      <c r="V8" s="485">
        <v>73327</v>
      </c>
      <c r="W8" s="486">
        <v>73005</v>
      </c>
      <c r="X8" s="485">
        <v>1817</v>
      </c>
      <c r="Y8" s="486">
        <v>4596</v>
      </c>
      <c r="Z8" s="485">
        <v>22041</v>
      </c>
      <c r="AA8" s="485">
        <v>201</v>
      </c>
      <c r="AB8" s="485"/>
      <c r="AC8" s="486">
        <v>21601</v>
      </c>
      <c r="AD8" s="486">
        <v>318</v>
      </c>
      <c r="AE8" s="486"/>
      <c r="AF8" s="485"/>
      <c r="AG8" s="486"/>
    </row>
    <row r="9" spans="1:33">
      <c r="A9" s="98" t="s">
        <v>50</v>
      </c>
      <c r="B9" s="481" t="s">
        <v>53</v>
      </c>
      <c r="C9" s="57" t="s">
        <v>932</v>
      </c>
      <c r="D9" s="55">
        <v>100663</v>
      </c>
      <c r="E9" s="13">
        <v>1</v>
      </c>
      <c r="F9" s="483">
        <f t="shared" si="0"/>
        <v>295175</v>
      </c>
      <c r="G9" s="484">
        <f t="shared" si="1"/>
        <v>315909</v>
      </c>
      <c r="H9" s="485">
        <v>207993</v>
      </c>
      <c r="I9" s="486">
        <v>215981</v>
      </c>
      <c r="J9" s="485">
        <v>228</v>
      </c>
      <c r="K9" s="486">
        <v>51</v>
      </c>
      <c r="L9" s="485">
        <v>86894</v>
      </c>
      <c r="M9" s="485">
        <v>60</v>
      </c>
      <c r="N9" s="485"/>
      <c r="O9" s="486">
        <v>99835</v>
      </c>
      <c r="P9" s="486">
        <v>42</v>
      </c>
      <c r="Q9" s="486"/>
      <c r="R9" s="485"/>
      <c r="S9" s="486"/>
      <c r="T9" s="483">
        <f t="shared" si="2"/>
        <v>50185</v>
      </c>
      <c r="U9" s="484">
        <f t="shared" si="3"/>
        <v>55209</v>
      </c>
      <c r="V9" s="485">
        <v>29946</v>
      </c>
      <c r="W9" s="486">
        <v>31524</v>
      </c>
      <c r="X9" s="485">
        <v>54</v>
      </c>
      <c r="Y9" s="486">
        <v>54</v>
      </c>
      <c r="Z9" s="485">
        <v>20056</v>
      </c>
      <c r="AA9" s="485">
        <v>129</v>
      </c>
      <c r="AB9" s="485"/>
      <c r="AC9" s="486">
        <v>23535</v>
      </c>
      <c r="AD9" s="486">
        <v>96</v>
      </c>
      <c r="AE9" s="486"/>
      <c r="AF9" s="485"/>
      <c r="AG9" s="486"/>
    </row>
    <row r="10" spans="1:33">
      <c r="A10" s="98" t="s">
        <v>50</v>
      </c>
      <c r="B10" s="481" t="s">
        <v>54</v>
      </c>
      <c r="C10" s="56" t="s">
        <v>933</v>
      </c>
      <c r="D10" s="55">
        <v>100706</v>
      </c>
      <c r="E10" s="482">
        <v>2</v>
      </c>
      <c r="F10" s="483">
        <f t="shared" si="0"/>
        <v>184226</v>
      </c>
      <c r="G10" s="484">
        <f t="shared" si="1"/>
        <v>202213</v>
      </c>
      <c r="H10" s="485">
        <v>174986</v>
      </c>
      <c r="I10" s="486">
        <v>185753</v>
      </c>
      <c r="J10" s="485"/>
      <c r="K10" s="486"/>
      <c r="L10" s="485">
        <v>9240</v>
      </c>
      <c r="M10" s="485"/>
      <c r="N10" s="485"/>
      <c r="O10" s="486">
        <v>16460</v>
      </c>
      <c r="P10" s="486"/>
      <c r="Q10" s="486"/>
      <c r="R10" s="485"/>
      <c r="S10" s="486"/>
      <c r="T10" s="483">
        <f t="shared" si="2"/>
        <v>31413</v>
      </c>
      <c r="U10" s="484">
        <f t="shared" si="3"/>
        <v>31627</v>
      </c>
      <c r="V10" s="485">
        <v>21910</v>
      </c>
      <c r="W10" s="486">
        <v>21545</v>
      </c>
      <c r="X10" s="485"/>
      <c r="Y10" s="486"/>
      <c r="Z10" s="485">
        <v>9503</v>
      </c>
      <c r="AA10" s="485"/>
      <c r="AB10" s="485"/>
      <c r="AC10" s="486">
        <v>10082</v>
      </c>
      <c r="AD10" s="486"/>
      <c r="AE10" s="486"/>
      <c r="AF10" s="485"/>
      <c r="AG10" s="486"/>
    </row>
    <row r="11" spans="1:33">
      <c r="A11" s="98" t="s">
        <v>50</v>
      </c>
      <c r="B11" s="481" t="s">
        <v>55</v>
      </c>
      <c r="C11" s="15"/>
      <c r="D11" s="55">
        <v>100654</v>
      </c>
      <c r="E11" s="482">
        <v>3</v>
      </c>
      <c r="F11" s="483">
        <f t="shared" si="0"/>
        <v>135883</v>
      </c>
      <c r="G11" s="484">
        <f t="shared" si="1"/>
        <v>151518</v>
      </c>
      <c r="H11" s="485">
        <v>125764</v>
      </c>
      <c r="I11" s="486">
        <v>141101</v>
      </c>
      <c r="J11" s="485">
        <v>381</v>
      </c>
      <c r="K11" s="486">
        <v>327</v>
      </c>
      <c r="L11" s="485">
        <v>9738</v>
      </c>
      <c r="M11" s="485"/>
      <c r="N11" s="485"/>
      <c r="O11" s="486">
        <v>10090</v>
      </c>
      <c r="P11" s="486"/>
      <c r="Q11" s="486"/>
      <c r="R11" s="485"/>
      <c r="S11" s="486"/>
      <c r="T11" s="483">
        <f t="shared" si="2"/>
        <v>17205</v>
      </c>
      <c r="U11" s="484">
        <f t="shared" si="3"/>
        <v>18386</v>
      </c>
      <c r="V11" s="485">
        <v>14812</v>
      </c>
      <c r="W11" s="486">
        <v>14379</v>
      </c>
      <c r="X11" s="485">
        <v>331</v>
      </c>
      <c r="Y11" s="486">
        <v>613</v>
      </c>
      <c r="Z11" s="485">
        <v>2062</v>
      </c>
      <c r="AA11" s="485"/>
      <c r="AB11" s="485"/>
      <c r="AC11" s="486">
        <v>3394</v>
      </c>
      <c r="AD11" s="486"/>
      <c r="AE11" s="486"/>
      <c r="AF11" s="485"/>
      <c r="AG11" s="486"/>
    </row>
    <row r="12" spans="1:33">
      <c r="A12" s="98" t="s">
        <v>50</v>
      </c>
      <c r="B12" s="481" t="s">
        <v>56</v>
      </c>
      <c r="C12" s="15"/>
      <c r="D12" s="55">
        <v>101480</v>
      </c>
      <c r="E12" s="482">
        <v>3</v>
      </c>
      <c r="F12" s="483">
        <f t="shared" si="0"/>
        <v>187997</v>
      </c>
      <c r="G12" s="484">
        <f t="shared" si="1"/>
        <v>187929</v>
      </c>
      <c r="H12" s="485">
        <v>129475</v>
      </c>
      <c r="I12" s="486">
        <v>123309</v>
      </c>
      <c r="J12" s="485">
        <v>2942</v>
      </c>
      <c r="K12" s="486">
        <v>2454</v>
      </c>
      <c r="L12" s="485">
        <v>54626</v>
      </c>
      <c r="M12" s="485">
        <v>954</v>
      </c>
      <c r="N12" s="485">
        <v>0</v>
      </c>
      <c r="O12" s="486">
        <v>61893</v>
      </c>
      <c r="P12" s="486">
        <v>273</v>
      </c>
      <c r="Q12" s="486">
        <v>0</v>
      </c>
      <c r="R12" s="485"/>
      <c r="S12" s="486"/>
      <c r="T12" s="483">
        <f t="shared" si="2"/>
        <v>16190</v>
      </c>
      <c r="U12" s="484">
        <f t="shared" si="3"/>
        <v>18018</v>
      </c>
      <c r="V12" s="485">
        <v>3791</v>
      </c>
      <c r="W12" s="486">
        <v>3572</v>
      </c>
      <c r="X12" s="485"/>
      <c r="Y12" s="486">
        <v>3</v>
      </c>
      <c r="Z12" s="485">
        <v>12399</v>
      </c>
      <c r="AA12" s="485"/>
      <c r="AB12" s="485"/>
      <c r="AC12" s="486">
        <v>14431</v>
      </c>
      <c r="AD12" s="486">
        <v>12</v>
      </c>
      <c r="AE12" s="486"/>
      <c r="AF12" s="485"/>
      <c r="AG12" s="486"/>
    </row>
    <row r="13" spans="1:33">
      <c r="A13" s="98" t="s">
        <v>50</v>
      </c>
      <c r="B13" s="481" t="s">
        <v>57</v>
      </c>
      <c r="C13" s="15"/>
      <c r="D13" s="55">
        <v>102368</v>
      </c>
      <c r="E13" s="482">
        <v>3</v>
      </c>
      <c r="F13" s="483">
        <f t="shared" si="0"/>
        <v>277943</v>
      </c>
      <c r="G13" s="484">
        <f t="shared" si="1"/>
        <v>279461</v>
      </c>
      <c r="H13" s="485">
        <v>216564</v>
      </c>
      <c r="I13" s="486">
        <v>200406</v>
      </c>
      <c r="J13" s="485">
        <v>0</v>
      </c>
      <c r="K13" s="486">
        <v>0</v>
      </c>
      <c r="L13" s="485">
        <v>61379</v>
      </c>
      <c r="M13" s="485">
        <v>0</v>
      </c>
      <c r="N13" s="485">
        <v>0</v>
      </c>
      <c r="O13" s="486">
        <v>69624</v>
      </c>
      <c r="P13" s="486">
        <v>0</v>
      </c>
      <c r="Q13" s="486">
        <v>9431</v>
      </c>
      <c r="R13" s="485">
        <v>0</v>
      </c>
      <c r="S13" s="486"/>
      <c r="T13" s="483">
        <f t="shared" si="2"/>
        <v>34799</v>
      </c>
      <c r="U13" s="484">
        <f t="shared" si="3"/>
        <v>32842</v>
      </c>
      <c r="V13" s="485">
        <v>21462</v>
      </c>
      <c r="W13" s="486">
        <v>14965</v>
      </c>
      <c r="X13" s="485">
        <v>0</v>
      </c>
      <c r="Y13" s="486"/>
      <c r="Z13" s="485">
        <v>13337</v>
      </c>
      <c r="AA13" s="485">
        <v>0</v>
      </c>
      <c r="AB13" s="485">
        <v>0</v>
      </c>
      <c r="AC13" s="486">
        <v>16467</v>
      </c>
      <c r="AD13" s="486"/>
      <c r="AE13" s="486">
        <v>1410</v>
      </c>
      <c r="AF13" s="485"/>
      <c r="AG13" s="486">
        <v>0</v>
      </c>
    </row>
    <row r="14" spans="1:33">
      <c r="A14" s="98" t="s">
        <v>50</v>
      </c>
      <c r="B14" s="481" t="s">
        <v>61</v>
      </c>
      <c r="C14" s="57"/>
      <c r="D14" s="55">
        <v>101879</v>
      </c>
      <c r="E14" s="482">
        <v>3</v>
      </c>
      <c r="F14" s="483">
        <f t="shared" si="0"/>
        <v>159806</v>
      </c>
      <c r="G14" s="484">
        <f t="shared" si="1"/>
        <v>161333</v>
      </c>
      <c r="H14" s="485">
        <v>126835</v>
      </c>
      <c r="I14" s="486">
        <v>121400</v>
      </c>
      <c r="J14" s="485"/>
      <c r="K14" s="486"/>
      <c r="L14" s="485">
        <v>32971</v>
      </c>
      <c r="M14" s="485"/>
      <c r="N14" s="485"/>
      <c r="O14" s="486">
        <v>39933</v>
      </c>
      <c r="P14" s="486"/>
      <c r="Q14" s="486"/>
      <c r="R14" s="485"/>
      <c r="S14" s="486"/>
      <c r="T14" s="483">
        <f t="shared" si="2"/>
        <v>17334</v>
      </c>
      <c r="U14" s="484">
        <f t="shared" si="3"/>
        <v>19826</v>
      </c>
      <c r="V14" s="485">
        <v>4150</v>
      </c>
      <c r="W14" s="486">
        <v>3941</v>
      </c>
      <c r="X14" s="485"/>
      <c r="Y14" s="486"/>
      <c r="Z14" s="485">
        <v>13184</v>
      </c>
      <c r="AA14" s="485"/>
      <c r="AB14" s="485"/>
      <c r="AC14" s="486">
        <v>15885</v>
      </c>
      <c r="AD14" s="486"/>
      <c r="AE14" s="486"/>
      <c r="AF14" s="485"/>
      <c r="AG14" s="486"/>
    </row>
    <row r="15" spans="1:33">
      <c r="A15" s="98" t="s">
        <v>50</v>
      </c>
      <c r="B15" s="481" t="s">
        <v>58</v>
      </c>
      <c r="C15" s="139" t="s">
        <v>934</v>
      </c>
      <c r="D15" s="55">
        <v>102094</v>
      </c>
      <c r="E15" s="13">
        <v>2</v>
      </c>
      <c r="F15" s="483">
        <f t="shared" si="0"/>
        <v>283312</v>
      </c>
      <c r="G15" s="484">
        <f t="shared" si="1"/>
        <v>264746</v>
      </c>
      <c r="H15" s="485">
        <v>243731</v>
      </c>
      <c r="I15" s="486">
        <v>222892</v>
      </c>
      <c r="J15" s="485">
        <v>366</v>
      </c>
      <c r="K15" s="486">
        <v>398</v>
      </c>
      <c r="L15" s="485">
        <v>39215</v>
      </c>
      <c r="M15" s="485"/>
      <c r="N15" s="485"/>
      <c r="O15" s="486">
        <v>41456</v>
      </c>
      <c r="P15" s="486"/>
      <c r="Q15" s="486"/>
      <c r="R15" s="485"/>
      <c r="S15" s="486"/>
      <c r="T15" s="483">
        <f t="shared" si="2"/>
        <v>18045</v>
      </c>
      <c r="U15" s="484">
        <f t="shared" si="3"/>
        <v>16420</v>
      </c>
      <c r="V15" s="485">
        <v>12701</v>
      </c>
      <c r="W15" s="486">
        <v>11718</v>
      </c>
      <c r="X15" s="485"/>
      <c r="Y15" s="486"/>
      <c r="Z15" s="485">
        <v>5344</v>
      </c>
      <c r="AA15" s="485"/>
      <c r="AB15" s="485"/>
      <c r="AC15" s="486">
        <v>4702</v>
      </c>
      <c r="AD15" s="486"/>
      <c r="AE15" s="486"/>
      <c r="AF15" s="485"/>
      <c r="AG15" s="486"/>
    </row>
    <row r="16" spans="1:33">
      <c r="A16" s="98" t="s">
        <v>50</v>
      </c>
      <c r="B16" s="481" t="s">
        <v>59</v>
      </c>
      <c r="C16" s="15"/>
      <c r="D16" s="55">
        <v>100724</v>
      </c>
      <c r="E16" s="482">
        <v>4</v>
      </c>
      <c r="F16" s="483">
        <f t="shared" si="0"/>
        <v>136889</v>
      </c>
      <c r="G16" s="484">
        <f t="shared" si="1"/>
        <v>121235</v>
      </c>
      <c r="H16" s="485">
        <v>118679</v>
      </c>
      <c r="I16" s="486">
        <v>102560</v>
      </c>
      <c r="J16" s="485">
        <v>0</v>
      </c>
      <c r="K16" s="486">
        <v>0</v>
      </c>
      <c r="L16" s="485">
        <v>18210</v>
      </c>
      <c r="M16" s="485"/>
      <c r="N16" s="485"/>
      <c r="O16" s="486">
        <v>18675</v>
      </c>
      <c r="P16" s="486"/>
      <c r="Q16" s="486"/>
      <c r="R16" s="485"/>
      <c r="S16" s="486"/>
      <c r="T16" s="483">
        <f t="shared" si="2"/>
        <v>14183</v>
      </c>
      <c r="U16" s="484">
        <f t="shared" si="3"/>
        <v>13087</v>
      </c>
      <c r="V16" s="485">
        <v>11707</v>
      </c>
      <c r="W16" s="486">
        <v>10787</v>
      </c>
      <c r="X16" s="485"/>
      <c r="Y16" s="486"/>
      <c r="Z16" s="485">
        <v>2476</v>
      </c>
      <c r="AA16" s="485"/>
      <c r="AB16" s="485"/>
      <c r="AC16" s="486">
        <v>2300</v>
      </c>
      <c r="AD16" s="486"/>
      <c r="AE16" s="486"/>
      <c r="AF16" s="485"/>
      <c r="AG16" s="486"/>
    </row>
    <row r="17" spans="1:33">
      <c r="A17" s="98" t="s">
        <v>50</v>
      </c>
      <c r="B17" s="481" t="s">
        <v>60</v>
      </c>
      <c r="C17" s="56" t="s">
        <v>933</v>
      </c>
      <c r="D17" s="55">
        <v>100830</v>
      </c>
      <c r="E17" s="482">
        <v>4</v>
      </c>
      <c r="F17" s="483">
        <f t="shared" si="0"/>
        <v>108549</v>
      </c>
      <c r="G17" s="484">
        <f t="shared" si="1"/>
        <v>116195</v>
      </c>
      <c r="H17" s="485">
        <v>84448</v>
      </c>
      <c r="I17" s="486">
        <v>87749</v>
      </c>
      <c r="J17" s="485">
        <v>272</v>
      </c>
      <c r="K17" s="486">
        <v>444</v>
      </c>
      <c r="L17" s="485">
        <v>23829</v>
      </c>
      <c r="M17" s="485"/>
      <c r="N17" s="485"/>
      <c r="O17" s="486">
        <v>28002</v>
      </c>
      <c r="P17" s="486"/>
      <c r="Q17" s="486"/>
      <c r="R17" s="485"/>
      <c r="S17" s="486"/>
      <c r="T17" s="483">
        <f t="shared" si="2"/>
        <v>9726</v>
      </c>
      <c r="U17" s="484">
        <f t="shared" si="3"/>
        <v>9931</v>
      </c>
      <c r="V17" s="485">
        <v>3758</v>
      </c>
      <c r="W17" s="486">
        <v>3656</v>
      </c>
      <c r="X17" s="485">
        <v>0</v>
      </c>
      <c r="Y17" s="486">
        <v>45</v>
      </c>
      <c r="Z17" s="485">
        <v>5968</v>
      </c>
      <c r="AA17" s="485"/>
      <c r="AB17" s="485"/>
      <c r="AC17" s="486">
        <v>6230</v>
      </c>
      <c r="AD17" s="486"/>
      <c r="AE17" s="486"/>
      <c r="AF17" s="485"/>
      <c r="AG17" s="486"/>
    </row>
    <row r="18" spans="1:33">
      <c r="A18" s="98" t="s">
        <v>50</v>
      </c>
      <c r="B18" s="481" t="s">
        <v>62</v>
      </c>
      <c r="C18" s="15"/>
      <c r="D18" s="55">
        <v>101709</v>
      </c>
      <c r="E18" s="482">
        <v>5</v>
      </c>
      <c r="F18" s="483">
        <f t="shared" si="0"/>
        <v>64610</v>
      </c>
      <c r="G18" s="484">
        <f t="shared" si="1"/>
        <v>64266</v>
      </c>
      <c r="H18" s="485">
        <v>61015</v>
      </c>
      <c r="I18" s="486">
        <v>59364</v>
      </c>
      <c r="J18" s="485">
        <v>0</v>
      </c>
      <c r="K18" s="486">
        <v>0</v>
      </c>
      <c r="L18" s="485">
        <v>3595</v>
      </c>
      <c r="M18" s="485"/>
      <c r="N18" s="485"/>
      <c r="O18" s="486">
        <v>4902</v>
      </c>
      <c r="P18" s="486"/>
      <c r="Q18" s="486"/>
      <c r="R18" s="485"/>
      <c r="S18" s="486"/>
      <c r="T18" s="483">
        <f t="shared" si="2"/>
        <v>7317</v>
      </c>
      <c r="U18" s="484">
        <f t="shared" si="3"/>
        <v>6575</v>
      </c>
      <c r="V18" s="485">
        <v>5803</v>
      </c>
      <c r="W18" s="486">
        <v>4886</v>
      </c>
      <c r="X18" s="485">
        <v>357</v>
      </c>
      <c r="Y18" s="486">
        <v>610</v>
      </c>
      <c r="Z18" s="485">
        <v>1157</v>
      </c>
      <c r="AA18" s="485"/>
      <c r="AB18" s="485"/>
      <c r="AC18" s="486">
        <v>1079</v>
      </c>
      <c r="AD18" s="486"/>
      <c r="AE18" s="486"/>
      <c r="AF18" s="485"/>
      <c r="AG18" s="486"/>
    </row>
    <row r="19" spans="1:33">
      <c r="A19" s="98" t="s">
        <v>50</v>
      </c>
      <c r="B19" s="481" t="s">
        <v>63</v>
      </c>
      <c r="C19" s="56" t="s">
        <v>935</v>
      </c>
      <c r="D19" s="55">
        <v>101587</v>
      </c>
      <c r="E19" s="482">
        <v>5</v>
      </c>
      <c r="F19" s="483">
        <f t="shared" si="0"/>
        <v>57951</v>
      </c>
      <c r="G19" s="484">
        <f t="shared" si="1"/>
        <v>60646</v>
      </c>
      <c r="H19" s="485">
        <v>48758</v>
      </c>
      <c r="I19" s="486">
        <v>46921</v>
      </c>
      <c r="J19" s="485">
        <v>336</v>
      </c>
      <c r="K19" s="486">
        <v>370</v>
      </c>
      <c r="L19" s="485">
        <v>8857</v>
      </c>
      <c r="M19" s="485"/>
      <c r="N19" s="485"/>
      <c r="O19" s="486">
        <v>13355</v>
      </c>
      <c r="P19" s="486"/>
      <c r="Q19" s="486"/>
      <c r="R19" s="485"/>
      <c r="S19" s="486"/>
      <c r="T19" s="483">
        <f t="shared" si="2"/>
        <v>44276</v>
      </c>
      <c r="U19" s="484">
        <f t="shared" si="3"/>
        <v>54056</v>
      </c>
      <c r="V19" s="485">
        <v>1474</v>
      </c>
      <c r="W19" s="486">
        <v>1026</v>
      </c>
      <c r="X19" s="485"/>
      <c r="Y19" s="486"/>
      <c r="Z19" s="485">
        <v>42802</v>
      </c>
      <c r="AA19" s="485"/>
      <c r="AB19" s="485"/>
      <c r="AC19" s="486">
        <v>53030</v>
      </c>
      <c r="AD19" s="486"/>
      <c r="AE19" s="486"/>
      <c r="AF19" s="485"/>
      <c r="AG19" s="486"/>
    </row>
    <row r="20" spans="1:33">
      <c r="A20" s="98" t="s">
        <v>50</v>
      </c>
      <c r="B20" s="481" t="s">
        <v>64</v>
      </c>
      <c r="C20" s="15"/>
      <c r="D20" s="54" t="s">
        <v>65</v>
      </c>
      <c r="E20" s="482">
        <v>6</v>
      </c>
      <c r="F20" s="483">
        <f t="shared" si="0"/>
        <v>67015</v>
      </c>
      <c r="G20" s="484">
        <f t="shared" si="1"/>
        <v>65486</v>
      </c>
      <c r="H20" s="485">
        <v>12957</v>
      </c>
      <c r="I20" s="486">
        <v>10766</v>
      </c>
      <c r="J20" s="485">
        <v>2382</v>
      </c>
      <c r="K20" s="486">
        <v>1707</v>
      </c>
      <c r="L20" s="485">
        <v>51676</v>
      </c>
      <c r="M20" s="485"/>
      <c r="N20" s="485"/>
      <c r="O20" s="486">
        <v>53013</v>
      </c>
      <c r="P20" s="486"/>
      <c r="Q20" s="486"/>
      <c r="R20" s="485"/>
      <c r="S20" s="486"/>
      <c r="T20" s="483">
        <f t="shared" si="2"/>
        <v>1236</v>
      </c>
      <c r="U20" s="484">
        <f t="shared" si="3"/>
        <v>2376</v>
      </c>
      <c r="V20" s="485">
        <v>18</v>
      </c>
      <c r="W20" s="486">
        <v>30</v>
      </c>
      <c r="X20" s="485"/>
      <c r="Y20" s="486"/>
      <c r="Z20" s="485">
        <v>1218</v>
      </c>
      <c r="AA20" s="485"/>
      <c r="AB20" s="485"/>
      <c r="AC20" s="486">
        <v>2346</v>
      </c>
      <c r="AD20" s="486"/>
      <c r="AE20" s="486"/>
      <c r="AF20" s="485"/>
      <c r="AG20" s="486"/>
    </row>
    <row r="21" spans="1:33">
      <c r="A21" s="98" t="s">
        <v>50</v>
      </c>
      <c r="B21" s="99" t="s">
        <v>66</v>
      </c>
      <c r="C21" s="15"/>
      <c r="D21" s="55">
        <v>101505</v>
      </c>
      <c r="E21" s="482">
        <v>8</v>
      </c>
      <c r="F21" s="483">
        <f t="shared" si="0"/>
        <v>168065</v>
      </c>
      <c r="G21" s="484">
        <f t="shared" si="1"/>
        <v>170953</v>
      </c>
      <c r="H21" s="485">
        <v>108957</v>
      </c>
      <c r="I21" s="486">
        <v>109128</v>
      </c>
      <c r="J21" s="485">
        <v>6632</v>
      </c>
      <c r="K21" s="486">
        <v>6840</v>
      </c>
      <c r="L21" s="485">
        <v>50882</v>
      </c>
      <c r="M21" s="485">
        <v>1594</v>
      </c>
      <c r="N21" s="485"/>
      <c r="O21" s="486">
        <v>53242</v>
      </c>
      <c r="P21" s="486">
        <v>1743</v>
      </c>
      <c r="Q21" s="486"/>
      <c r="R21" s="485"/>
      <c r="S21" s="486"/>
      <c r="T21" s="483">
        <f t="shared" si="2"/>
        <v>0</v>
      </c>
      <c r="U21" s="484">
        <f t="shared" si="3"/>
        <v>0</v>
      </c>
      <c r="V21" s="485"/>
      <c r="W21" s="486"/>
      <c r="X21" s="485"/>
      <c r="Y21" s="486"/>
      <c r="Z21" s="485"/>
      <c r="AA21" s="485"/>
      <c r="AB21" s="485"/>
      <c r="AC21" s="486"/>
      <c r="AD21" s="486"/>
      <c r="AE21" s="486"/>
      <c r="AF21" s="485"/>
      <c r="AG21" s="486"/>
    </row>
    <row r="22" spans="1:33">
      <c r="A22" s="98" t="s">
        <v>50</v>
      </c>
      <c r="B22" s="99" t="s">
        <v>936</v>
      </c>
      <c r="C22" s="15"/>
      <c r="D22" s="55">
        <v>101514</v>
      </c>
      <c r="E22" s="482">
        <v>8</v>
      </c>
      <c r="F22" s="483">
        <f t="shared" si="0"/>
        <v>199357</v>
      </c>
      <c r="G22" s="484">
        <f t="shared" si="1"/>
        <v>195805</v>
      </c>
      <c r="H22" s="485">
        <v>124234</v>
      </c>
      <c r="I22" s="486">
        <v>118580</v>
      </c>
      <c r="J22" s="485">
        <v>7955</v>
      </c>
      <c r="K22" s="486">
        <v>7107</v>
      </c>
      <c r="L22" s="485">
        <v>67168</v>
      </c>
      <c r="M22" s="485"/>
      <c r="N22" s="485"/>
      <c r="O22" s="486">
        <v>70118</v>
      </c>
      <c r="P22" s="486"/>
      <c r="Q22" s="486"/>
      <c r="R22" s="485"/>
      <c r="S22" s="486"/>
      <c r="T22" s="483">
        <f t="shared" si="2"/>
        <v>0</v>
      </c>
      <c r="U22" s="484">
        <f t="shared" si="3"/>
        <v>0</v>
      </c>
      <c r="V22" s="485"/>
      <c r="W22" s="486"/>
      <c r="X22" s="485"/>
      <c r="Y22" s="486"/>
      <c r="Z22" s="485"/>
      <c r="AA22" s="485"/>
      <c r="AB22" s="485"/>
      <c r="AC22" s="486"/>
      <c r="AD22" s="486"/>
      <c r="AE22" s="486"/>
      <c r="AF22" s="485"/>
      <c r="AG22" s="486"/>
    </row>
    <row r="23" spans="1:33">
      <c r="A23" s="98" t="s">
        <v>50</v>
      </c>
      <c r="B23" s="481" t="s">
        <v>67</v>
      </c>
      <c r="C23" s="15"/>
      <c r="D23" s="55">
        <v>102429</v>
      </c>
      <c r="E23" s="482">
        <v>9</v>
      </c>
      <c r="F23" s="483">
        <f t="shared" si="0"/>
        <v>84465</v>
      </c>
      <c r="G23" s="484">
        <f t="shared" si="1"/>
        <v>84082</v>
      </c>
      <c r="H23" s="485">
        <v>61567</v>
      </c>
      <c r="I23" s="486">
        <v>57077</v>
      </c>
      <c r="J23" s="485">
        <v>5554</v>
      </c>
      <c r="K23" s="486">
        <v>5957</v>
      </c>
      <c r="L23" s="485">
        <v>14717</v>
      </c>
      <c r="M23" s="485">
        <v>2627</v>
      </c>
      <c r="N23" s="485"/>
      <c r="O23" s="486">
        <v>17996</v>
      </c>
      <c r="P23" s="486">
        <v>3052</v>
      </c>
      <c r="Q23" s="486"/>
      <c r="R23" s="485"/>
      <c r="S23" s="486"/>
      <c r="T23" s="483">
        <f t="shared" si="2"/>
        <v>0</v>
      </c>
      <c r="U23" s="484">
        <f t="shared" si="3"/>
        <v>0</v>
      </c>
      <c r="V23" s="485"/>
      <c r="W23" s="486"/>
      <c r="X23" s="485"/>
      <c r="Y23" s="486"/>
      <c r="Z23" s="485"/>
      <c r="AA23" s="485"/>
      <c r="AB23" s="485"/>
      <c r="AC23" s="486"/>
      <c r="AD23" s="486"/>
      <c r="AE23" s="486"/>
      <c r="AF23" s="485"/>
      <c r="AG23" s="486"/>
    </row>
    <row r="24" spans="1:33">
      <c r="A24" s="98" t="s">
        <v>50</v>
      </c>
      <c r="B24" s="487" t="s">
        <v>68</v>
      </c>
      <c r="C24" s="14"/>
      <c r="D24" s="55">
        <v>102030</v>
      </c>
      <c r="E24" s="482">
        <v>9</v>
      </c>
      <c r="F24" s="483">
        <f t="shared" si="0"/>
        <v>70231</v>
      </c>
      <c r="G24" s="484">
        <f t="shared" si="1"/>
        <v>67163</v>
      </c>
      <c r="H24" s="485">
        <v>61069</v>
      </c>
      <c r="I24" s="486">
        <v>59059</v>
      </c>
      <c r="J24" s="485">
        <v>3</v>
      </c>
      <c r="K24" s="486">
        <v>9</v>
      </c>
      <c r="L24" s="485">
        <v>7540</v>
      </c>
      <c r="M24" s="485"/>
      <c r="N24" s="485">
        <v>0</v>
      </c>
      <c r="O24" s="486">
        <v>4691</v>
      </c>
      <c r="P24" s="486"/>
      <c r="Q24" s="486">
        <v>0</v>
      </c>
      <c r="R24" s="485">
        <v>1619</v>
      </c>
      <c r="S24" s="486">
        <v>3404</v>
      </c>
      <c r="T24" s="483">
        <f t="shared" si="2"/>
        <v>0</v>
      </c>
      <c r="U24" s="484">
        <f t="shared" si="3"/>
        <v>0</v>
      </c>
      <c r="V24" s="485"/>
      <c r="W24" s="486"/>
      <c r="X24" s="485"/>
      <c r="Y24" s="486"/>
      <c r="Z24" s="485"/>
      <c r="AA24" s="485"/>
      <c r="AB24" s="485"/>
      <c r="AC24" s="486"/>
      <c r="AD24" s="486"/>
      <c r="AE24" s="486"/>
      <c r="AF24" s="485"/>
      <c r="AG24" s="486"/>
    </row>
    <row r="25" spans="1:33">
      <c r="A25" s="98" t="s">
        <v>50</v>
      </c>
      <c r="B25" s="481" t="s">
        <v>69</v>
      </c>
      <c r="C25" s="57"/>
      <c r="D25" s="55">
        <v>101240</v>
      </c>
      <c r="E25" s="482">
        <v>9</v>
      </c>
      <c r="F25" s="483">
        <f t="shared" si="0"/>
        <v>113194</v>
      </c>
      <c r="G25" s="484">
        <f t="shared" si="1"/>
        <v>110220</v>
      </c>
      <c r="H25" s="485">
        <v>74791</v>
      </c>
      <c r="I25" s="486">
        <v>69197</v>
      </c>
      <c r="J25" s="485">
        <v>10345</v>
      </c>
      <c r="K25" s="486">
        <v>9297</v>
      </c>
      <c r="L25" s="485">
        <v>28058</v>
      </c>
      <c r="M25" s="485"/>
      <c r="N25" s="485"/>
      <c r="O25" s="486">
        <v>31726</v>
      </c>
      <c r="P25" s="486"/>
      <c r="Q25" s="486"/>
      <c r="R25" s="485"/>
      <c r="S25" s="486"/>
      <c r="T25" s="483">
        <f t="shared" si="2"/>
        <v>0</v>
      </c>
      <c r="U25" s="484">
        <f t="shared" si="3"/>
        <v>0</v>
      </c>
      <c r="V25" s="485"/>
      <c r="W25" s="486"/>
      <c r="X25" s="485"/>
      <c r="Y25" s="486"/>
      <c r="Z25" s="485"/>
      <c r="AA25" s="485"/>
      <c r="AB25" s="485"/>
      <c r="AC25" s="486"/>
      <c r="AD25" s="486"/>
      <c r="AE25" s="486"/>
      <c r="AF25" s="485"/>
      <c r="AG25" s="486"/>
    </row>
    <row r="26" spans="1:33">
      <c r="A26" s="98" t="s">
        <v>50</v>
      </c>
      <c r="B26" s="99" t="s">
        <v>937</v>
      </c>
      <c r="C26" s="15"/>
      <c r="D26" s="55">
        <v>101286</v>
      </c>
      <c r="E26" s="482">
        <v>9</v>
      </c>
      <c r="F26" s="483">
        <f t="shared" si="0"/>
        <v>98184</v>
      </c>
      <c r="G26" s="484">
        <f t="shared" si="1"/>
        <v>99907</v>
      </c>
      <c r="H26" s="485">
        <v>74294</v>
      </c>
      <c r="I26" s="486">
        <v>71878</v>
      </c>
      <c r="J26" s="485">
        <v>11549</v>
      </c>
      <c r="K26" s="486">
        <v>12858</v>
      </c>
      <c r="L26" s="485">
        <v>12341</v>
      </c>
      <c r="M26" s="485"/>
      <c r="N26" s="485"/>
      <c r="O26" s="486">
        <v>15171</v>
      </c>
      <c r="P26" s="486"/>
      <c r="Q26" s="486"/>
      <c r="R26" s="485"/>
      <c r="S26" s="486"/>
      <c r="T26" s="483">
        <f t="shared" si="2"/>
        <v>0</v>
      </c>
      <c r="U26" s="484">
        <f t="shared" si="3"/>
        <v>0</v>
      </c>
      <c r="V26" s="485"/>
      <c r="W26" s="486"/>
      <c r="X26" s="485"/>
      <c r="Y26" s="486"/>
      <c r="Z26" s="485"/>
      <c r="AA26" s="485"/>
      <c r="AB26" s="485"/>
      <c r="AC26" s="486"/>
      <c r="AD26" s="486"/>
      <c r="AE26" s="486"/>
      <c r="AF26" s="485"/>
      <c r="AG26" s="486"/>
    </row>
    <row r="27" spans="1:33">
      <c r="A27" s="98" t="s">
        <v>50</v>
      </c>
      <c r="B27" s="99" t="s">
        <v>70</v>
      </c>
      <c r="C27" s="14" t="s">
        <v>938</v>
      </c>
      <c r="D27" s="55">
        <v>101161</v>
      </c>
      <c r="E27" s="482">
        <v>9</v>
      </c>
      <c r="F27" s="483">
        <f t="shared" si="0"/>
        <v>64818</v>
      </c>
      <c r="G27" s="484">
        <f t="shared" si="1"/>
        <v>168682</v>
      </c>
      <c r="H27" s="485">
        <v>24218</v>
      </c>
      <c r="I27" s="486">
        <v>112551</v>
      </c>
      <c r="J27" s="485">
        <v>19041</v>
      </c>
      <c r="K27" s="486">
        <v>10349</v>
      </c>
      <c r="L27" s="485">
        <v>21559</v>
      </c>
      <c r="M27" s="485"/>
      <c r="N27" s="485"/>
      <c r="O27" s="486">
        <v>45782</v>
      </c>
      <c r="P27" s="486"/>
      <c r="Q27" s="486"/>
      <c r="R27" s="485"/>
      <c r="S27" s="486"/>
      <c r="T27" s="483">
        <f t="shared" si="2"/>
        <v>0</v>
      </c>
      <c r="U27" s="484">
        <f t="shared" si="3"/>
        <v>0</v>
      </c>
      <c r="V27" s="485"/>
      <c r="W27" s="486"/>
      <c r="X27" s="485"/>
      <c r="Y27" s="486"/>
      <c r="Z27" s="485"/>
      <c r="AA27" s="485"/>
      <c r="AB27" s="485"/>
      <c r="AC27" s="486"/>
      <c r="AD27" s="486"/>
      <c r="AE27" s="486"/>
      <c r="AF27" s="485"/>
      <c r="AG27" s="486"/>
    </row>
    <row r="28" spans="1:33">
      <c r="A28" s="98" t="s">
        <v>50</v>
      </c>
      <c r="B28" s="481" t="s">
        <v>71</v>
      </c>
      <c r="C28" s="15"/>
      <c r="D28" s="55">
        <v>101569</v>
      </c>
      <c r="E28" s="482">
        <v>9</v>
      </c>
      <c r="F28" s="483">
        <f t="shared" si="0"/>
        <v>72421</v>
      </c>
      <c r="G28" s="484">
        <f t="shared" si="1"/>
        <v>76197</v>
      </c>
      <c r="H28" s="485">
        <v>61743</v>
      </c>
      <c r="I28" s="486">
        <v>65262</v>
      </c>
      <c r="J28" s="485">
        <v>1152</v>
      </c>
      <c r="K28" s="486">
        <v>2047</v>
      </c>
      <c r="L28" s="485">
        <v>9526</v>
      </c>
      <c r="M28" s="485"/>
      <c r="N28" s="485"/>
      <c r="O28" s="486">
        <v>8888</v>
      </c>
      <c r="P28" s="486"/>
      <c r="Q28" s="486"/>
      <c r="R28" s="485"/>
      <c r="S28" s="486"/>
      <c r="T28" s="483">
        <f t="shared" si="2"/>
        <v>0</v>
      </c>
      <c r="U28" s="484">
        <f t="shared" si="3"/>
        <v>0</v>
      </c>
      <c r="V28" s="485"/>
      <c r="W28" s="486"/>
      <c r="X28" s="485"/>
      <c r="Y28" s="486"/>
      <c r="Z28" s="485"/>
      <c r="AA28" s="485"/>
      <c r="AB28" s="485"/>
      <c r="AC28" s="486"/>
      <c r="AD28" s="486"/>
      <c r="AE28" s="486"/>
      <c r="AF28" s="485"/>
      <c r="AG28" s="486"/>
    </row>
    <row r="29" spans="1:33">
      <c r="A29" s="98" t="s">
        <v>50</v>
      </c>
      <c r="B29" s="481" t="s">
        <v>72</v>
      </c>
      <c r="C29" s="15"/>
      <c r="D29" s="55">
        <v>101736</v>
      </c>
      <c r="E29" s="482">
        <v>9</v>
      </c>
      <c r="F29" s="483">
        <f t="shared" si="0"/>
        <v>69257</v>
      </c>
      <c r="G29" s="484">
        <f t="shared" si="1"/>
        <v>66705</v>
      </c>
      <c r="H29" s="485">
        <v>56598</v>
      </c>
      <c r="I29" s="486">
        <v>50252</v>
      </c>
      <c r="J29" s="485">
        <v>670</v>
      </c>
      <c r="K29" s="486">
        <v>508</v>
      </c>
      <c r="L29" s="485">
        <v>11114</v>
      </c>
      <c r="M29" s="485">
        <v>875</v>
      </c>
      <c r="N29" s="485"/>
      <c r="O29" s="486">
        <v>15214</v>
      </c>
      <c r="P29" s="486">
        <v>731</v>
      </c>
      <c r="Q29" s="486"/>
      <c r="R29" s="485"/>
      <c r="S29" s="486"/>
      <c r="T29" s="483">
        <f t="shared" si="2"/>
        <v>0</v>
      </c>
      <c r="U29" s="484">
        <f t="shared" si="3"/>
        <v>0</v>
      </c>
      <c r="V29" s="485"/>
      <c r="W29" s="486"/>
      <c r="X29" s="485"/>
      <c r="Y29" s="486"/>
      <c r="Z29" s="485"/>
      <c r="AA29" s="485"/>
      <c r="AB29" s="485"/>
      <c r="AC29" s="486"/>
      <c r="AD29" s="486"/>
      <c r="AE29" s="486"/>
      <c r="AF29" s="485"/>
      <c r="AG29" s="486"/>
    </row>
    <row r="30" spans="1:33">
      <c r="A30" s="98" t="s">
        <v>50</v>
      </c>
      <c r="B30" s="481" t="s">
        <v>73</v>
      </c>
      <c r="C30" s="15"/>
      <c r="D30" s="55">
        <v>102067</v>
      </c>
      <c r="E30" s="482">
        <v>9</v>
      </c>
      <c r="F30" s="483">
        <f t="shared" si="0"/>
        <v>108232</v>
      </c>
      <c r="G30" s="484">
        <f t="shared" si="1"/>
        <v>104563</v>
      </c>
      <c r="H30" s="485">
        <v>74742</v>
      </c>
      <c r="I30" s="486">
        <v>71608</v>
      </c>
      <c r="J30" s="485">
        <v>11927</v>
      </c>
      <c r="K30" s="486">
        <v>10146</v>
      </c>
      <c r="L30" s="485">
        <v>21563</v>
      </c>
      <c r="M30" s="485"/>
      <c r="N30" s="485"/>
      <c r="O30" s="486">
        <v>22809</v>
      </c>
      <c r="P30" s="486"/>
      <c r="Q30" s="486"/>
      <c r="R30" s="485"/>
      <c r="S30" s="486"/>
      <c r="T30" s="483">
        <f t="shared" si="2"/>
        <v>0</v>
      </c>
      <c r="U30" s="484">
        <f t="shared" si="3"/>
        <v>0</v>
      </c>
      <c r="V30" s="485"/>
      <c r="W30" s="486"/>
      <c r="X30" s="485"/>
      <c r="Y30" s="486"/>
      <c r="Z30" s="485"/>
      <c r="AA30" s="485"/>
      <c r="AB30" s="485"/>
      <c r="AC30" s="486"/>
      <c r="AD30" s="486"/>
      <c r="AE30" s="486"/>
      <c r="AF30" s="485"/>
      <c r="AG30" s="486"/>
    </row>
    <row r="31" spans="1:33">
      <c r="A31" s="98" t="s">
        <v>50</v>
      </c>
      <c r="B31" s="481" t="s">
        <v>74</v>
      </c>
      <c r="C31" s="15"/>
      <c r="D31" s="55">
        <v>251260</v>
      </c>
      <c r="E31" s="482">
        <v>9</v>
      </c>
      <c r="F31" s="483">
        <f t="shared" si="0"/>
        <v>114991</v>
      </c>
      <c r="G31" s="484">
        <f t="shared" si="1"/>
        <v>113983</v>
      </c>
      <c r="H31" s="485">
        <v>95294</v>
      </c>
      <c r="I31" s="486">
        <v>90628</v>
      </c>
      <c r="J31" s="485">
        <v>2652</v>
      </c>
      <c r="K31" s="486">
        <v>4598</v>
      </c>
      <c r="L31" s="485">
        <v>17045</v>
      </c>
      <c r="M31" s="485"/>
      <c r="N31" s="485"/>
      <c r="O31" s="486">
        <v>18757</v>
      </c>
      <c r="P31" s="486"/>
      <c r="Q31" s="486"/>
      <c r="R31" s="485"/>
      <c r="S31" s="486"/>
      <c r="T31" s="483">
        <f t="shared" si="2"/>
        <v>0</v>
      </c>
      <c r="U31" s="484">
        <f t="shared" si="3"/>
        <v>0</v>
      </c>
      <c r="V31" s="485"/>
      <c r="W31" s="486"/>
      <c r="X31" s="485"/>
      <c r="Y31" s="486"/>
      <c r="Z31" s="485"/>
      <c r="AA31" s="485"/>
      <c r="AB31" s="485"/>
      <c r="AC31" s="486"/>
      <c r="AD31" s="486"/>
      <c r="AE31" s="486"/>
      <c r="AF31" s="485"/>
      <c r="AG31" s="486"/>
    </row>
    <row r="32" spans="1:33">
      <c r="A32" s="98" t="s">
        <v>50</v>
      </c>
      <c r="B32" s="99" t="s">
        <v>939</v>
      </c>
      <c r="C32" s="57"/>
      <c r="D32" s="55">
        <v>101295</v>
      </c>
      <c r="E32" s="482">
        <v>9</v>
      </c>
      <c r="F32" s="483">
        <f t="shared" si="0"/>
        <v>125706</v>
      </c>
      <c r="G32" s="484">
        <f t="shared" si="1"/>
        <v>125344</v>
      </c>
      <c r="H32" s="485">
        <v>76454</v>
      </c>
      <c r="I32" s="486">
        <v>73969</v>
      </c>
      <c r="J32" s="485">
        <v>16583</v>
      </c>
      <c r="K32" s="486">
        <v>16959</v>
      </c>
      <c r="L32" s="485">
        <v>32669</v>
      </c>
      <c r="M32" s="485"/>
      <c r="N32" s="485"/>
      <c r="O32" s="486">
        <v>34416</v>
      </c>
      <c r="P32" s="486"/>
      <c r="Q32" s="486"/>
      <c r="R32" s="485"/>
      <c r="S32" s="486"/>
      <c r="T32" s="483">
        <f t="shared" si="2"/>
        <v>0</v>
      </c>
      <c r="U32" s="484">
        <f t="shared" si="3"/>
        <v>0</v>
      </c>
      <c r="V32" s="485"/>
      <c r="W32" s="486"/>
      <c r="X32" s="485"/>
      <c r="Y32" s="486"/>
      <c r="Z32" s="485"/>
      <c r="AA32" s="485"/>
      <c r="AB32" s="485"/>
      <c r="AC32" s="486"/>
      <c r="AD32" s="486"/>
      <c r="AE32" s="486"/>
      <c r="AF32" s="485"/>
      <c r="AG32" s="486"/>
    </row>
    <row r="33" spans="1:33">
      <c r="A33" s="98" t="s">
        <v>50</v>
      </c>
      <c r="B33" s="99" t="s">
        <v>75</v>
      </c>
      <c r="C33" s="15" t="s">
        <v>940</v>
      </c>
      <c r="D33" s="55">
        <v>101949</v>
      </c>
      <c r="E33" s="482">
        <v>10</v>
      </c>
      <c r="F33" s="483">
        <f t="shared" si="0"/>
        <v>16895</v>
      </c>
      <c r="G33" s="484">
        <f t="shared" si="1"/>
        <v>0</v>
      </c>
      <c r="H33" s="485">
        <v>7045</v>
      </c>
      <c r="I33" s="486">
        <v>0</v>
      </c>
      <c r="J33" s="485">
        <v>6815</v>
      </c>
      <c r="K33" s="486">
        <v>0</v>
      </c>
      <c r="L33" s="485">
        <v>3035</v>
      </c>
      <c r="M33" s="485"/>
      <c r="N33" s="485"/>
      <c r="O33" s="486">
        <v>0</v>
      </c>
      <c r="P33" s="486"/>
      <c r="Q33" s="486"/>
      <c r="R33" s="485"/>
      <c r="S33" s="486"/>
      <c r="T33" s="483">
        <f t="shared" si="2"/>
        <v>0</v>
      </c>
      <c r="U33" s="484">
        <f t="shared" si="3"/>
        <v>0</v>
      </c>
      <c r="V33" s="485"/>
      <c r="W33" s="486"/>
      <c r="X33" s="485"/>
      <c r="Y33" s="486"/>
      <c r="Z33" s="485"/>
      <c r="AA33" s="485"/>
      <c r="AB33" s="485"/>
      <c r="AC33" s="486"/>
      <c r="AD33" s="486"/>
      <c r="AE33" s="486"/>
      <c r="AF33" s="485"/>
      <c r="AG33" s="486"/>
    </row>
    <row r="34" spans="1:33">
      <c r="A34" s="98" t="s">
        <v>50</v>
      </c>
      <c r="B34" s="481" t="s">
        <v>76</v>
      </c>
      <c r="C34" s="57"/>
      <c r="D34" s="55">
        <v>100760</v>
      </c>
      <c r="E34" s="482">
        <v>10</v>
      </c>
      <c r="F34" s="483">
        <f t="shared" si="0"/>
        <v>39570</v>
      </c>
      <c r="G34" s="484">
        <f t="shared" si="1"/>
        <v>36381</v>
      </c>
      <c r="H34" s="485">
        <v>25937</v>
      </c>
      <c r="I34" s="486">
        <v>23990</v>
      </c>
      <c r="J34" s="485">
        <v>3629</v>
      </c>
      <c r="K34" s="486">
        <v>3162</v>
      </c>
      <c r="L34" s="485">
        <v>10004</v>
      </c>
      <c r="M34" s="485"/>
      <c r="N34" s="485"/>
      <c r="O34" s="486">
        <v>9229</v>
      </c>
      <c r="P34" s="486"/>
      <c r="Q34" s="486"/>
      <c r="R34" s="485"/>
      <c r="S34" s="486"/>
      <c r="T34" s="483">
        <f t="shared" si="2"/>
        <v>0</v>
      </c>
      <c r="U34" s="484">
        <f t="shared" si="3"/>
        <v>0</v>
      </c>
      <c r="V34" s="485"/>
      <c r="W34" s="486"/>
      <c r="X34" s="485"/>
      <c r="Y34" s="486"/>
      <c r="Z34" s="485"/>
      <c r="AA34" s="485"/>
      <c r="AB34" s="485"/>
      <c r="AC34" s="486"/>
      <c r="AD34" s="486"/>
      <c r="AE34" s="486"/>
      <c r="AF34" s="485"/>
      <c r="AG34" s="486"/>
    </row>
    <row r="35" spans="1:33">
      <c r="A35" s="98" t="s">
        <v>50</v>
      </c>
      <c r="B35" s="99" t="s">
        <v>941</v>
      </c>
      <c r="C35" s="15"/>
      <c r="D35" s="55">
        <v>101028</v>
      </c>
      <c r="E35" s="482">
        <v>10</v>
      </c>
      <c r="F35" s="483">
        <f t="shared" si="0"/>
        <v>35244</v>
      </c>
      <c r="G35" s="484">
        <f t="shared" si="1"/>
        <v>37941</v>
      </c>
      <c r="H35" s="485">
        <v>31423</v>
      </c>
      <c r="I35" s="486">
        <v>32053</v>
      </c>
      <c r="J35" s="485">
        <v>224</v>
      </c>
      <c r="K35" s="486">
        <v>213</v>
      </c>
      <c r="L35" s="485">
        <v>3597</v>
      </c>
      <c r="M35" s="485"/>
      <c r="N35" s="485"/>
      <c r="O35" s="486">
        <v>5675</v>
      </c>
      <c r="P35" s="486"/>
      <c r="Q35" s="486"/>
      <c r="R35" s="485"/>
      <c r="S35" s="486"/>
      <c r="T35" s="483">
        <f t="shared" si="2"/>
        <v>0</v>
      </c>
      <c r="U35" s="484">
        <f t="shared" si="3"/>
        <v>0</v>
      </c>
      <c r="V35" s="485"/>
      <c r="W35" s="486"/>
      <c r="X35" s="485"/>
      <c r="Y35" s="486"/>
      <c r="Z35" s="485"/>
      <c r="AA35" s="485"/>
      <c r="AB35" s="485"/>
      <c r="AC35" s="486"/>
      <c r="AD35" s="486"/>
      <c r="AE35" s="486"/>
      <c r="AF35" s="485"/>
      <c r="AG35" s="486"/>
    </row>
    <row r="36" spans="1:33">
      <c r="A36" s="98" t="s">
        <v>50</v>
      </c>
      <c r="B36" s="488" t="s">
        <v>942</v>
      </c>
      <c r="C36" s="57"/>
      <c r="D36" s="55">
        <v>101143</v>
      </c>
      <c r="E36" s="482">
        <v>10</v>
      </c>
      <c r="F36" s="483">
        <f t="shared" si="0"/>
        <v>39685</v>
      </c>
      <c r="G36" s="484">
        <f t="shared" si="1"/>
        <v>38860</v>
      </c>
      <c r="H36" s="485">
        <v>29637</v>
      </c>
      <c r="I36" s="486">
        <v>28173</v>
      </c>
      <c r="J36" s="485">
        <v>1020</v>
      </c>
      <c r="K36" s="486">
        <v>1468</v>
      </c>
      <c r="L36" s="485">
        <v>9028</v>
      </c>
      <c r="M36" s="485"/>
      <c r="N36" s="485"/>
      <c r="O36" s="486">
        <v>9219</v>
      </c>
      <c r="P36" s="486"/>
      <c r="Q36" s="486"/>
      <c r="R36" s="485"/>
      <c r="S36" s="486"/>
      <c r="T36" s="483">
        <f t="shared" si="2"/>
        <v>0</v>
      </c>
      <c r="U36" s="484">
        <f t="shared" si="3"/>
        <v>0</v>
      </c>
      <c r="V36" s="485"/>
      <c r="W36" s="486"/>
      <c r="X36" s="485"/>
      <c r="Y36" s="486"/>
      <c r="Z36" s="485"/>
      <c r="AA36" s="485"/>
      <c r="AB36" s="485"/>
      <c r="AC36" s="486"/>
      <c r="AD36" s="486"/>
      <c r="AE36" s="486"/>
      <c r="AF36" s="485"/>
      <c r="AG36" s="486"/>
    </row>
    <row r="37" spans="1:33">
      <c r="A37" s="98" t="s">
        <v>50</v>
      </c>
      <c r="B37" s="481" t="s">
        <v>77</v>
      </c>
      <c r="C37" s="15"/>
      <c r="D37" s="55">
        <v>101301</v>
      </c>
      <c r="E37" s="482">
        <v>10</v>
      </c>
      <c r="F37" s="483">
        <f t="shared" si="0"/>
        <v>40756</v>
      </c>
      <c r="G37" s="484">
        <f t="shared" si="1"/>
        <v>39404</v>
      </c>
      <c r="H37" s="485">
        <v>24698</v>
      </c>
      <c r="I37" s="486">
        <v>22970</v>
      </c>
      <c r="J37" s="485">
        <v>1430</v>
      </c>
      <c r="K37" s="486">
        <v>1218</v>
      </c>
      <c r="L37" s="485">
        <v>14628</v>
      </c>
      <c r="M37" s="485"/>
      <c r="N37" s="485"/>
      <c r="O37" s="486">
        <v>15216</v>
      </c>
      <c r="P37" s="486"/>
      <c r="Q37" s="486"/>
      <c r="R37" s="485"/>
      <c r="S37" s="486"/>
      <c r="T37" s="483">
        <f t="shared" si="2"/>
        <v>0</v>
      </c>
      <c r="U37" s="484">
        <f t="shared" si="3"/>
        <v>0</v>
      </c>
      <c r="V37" s="485"/>
      <c r="W37" s="486"/>
      <c r="X37" s="485"/>
      <c r="Y37" s="486"/>
      <c r="Z37" s="485"/>
      <c r="AA37" s="485"/>
      <c r="AB37" s="485"/>
      <c r="AC37" s="486"/>
      <c r="AD37" s="486"/>
      <c r="AE37" s="486"/>
      <c r="AF37" s="485"/>
      <c r="AG37" s="486"/>
    </row>
    <row r="38" spans="1:33">
      <c r="A38" s="98" t="s">
        <v>50</v>
      </c>
      <c r="B38" s="99" t="s">
        <v>78</v>
      </c>
      <c r="C38" s="15" t="s">
        <v>940</v>
      </c>
      <c r="D38" s="55">
        <v>101499</v>
      </c>
      <c r="E38" s="482">
        <v>10</v>
      </c>
      <c r="F38" s="483">
        <f t="shared" si="0"/>
        <v>14839</v>
      </c>
      <c r="G38" s="484">
        <f t="shared" si="1"/>
        <v>0</v>
      </c>
      <c r="H38" s="485">
        <v>7207</v>
      </c>
      <c r="I38" s="486">
        <v>0</v>
      </c>
      <c r="J38" s="485">
        <v>4538</v>
      </c>
      <c r="K38" s="486">
        <v>0</v>
      </c>
      <c r="L38" s="485">
        <v>2581</v>
      </c>
      <c r="M38" s="485"/>
      <c r="N38" s="485">
        <v>513</v>
      </c>
      <c r="O38" s="486">
        <v>0</v>
      </c>
      <c r="P38" s="486"/>
      <c r="Q38" s="486">
        <v>0</v>
      </c>
      <c r="R38" s="485"/>
      <c r="S38" s="486"/>
      <c r="T38" s="483">
        <f t="shared" si="2"/>
        <v>0</v>
      </c>
      <c r="U38" s="484">
        <f t="shared" si="3"/>
        <v>0</v>
      </c>
      <c r="V38" s="485"/>
      <c r="W38" s="486"/>
      <c r="X38" s="485"/>
      <c r="Y38" s="486"/>
      <c r="Z38" s="485"/>
      <c r="AA38" s="485"/>
      <c r="AB38" s="485"/>
      <c r="AC38" s="486"/>
      <c r="AD38" s="486"/>
      <c r="AE38" s="486"/>
      <c r="AF38" s="485"/>
      <c r="AG38" s="486"/>
    </row>
    <row r="39" spans="1:33">
      <c r="A39" s="98" t="s">
        <v>50</v>
      </c>
      <c r="B39" s="481" t="s">
        <v>79</v>
      </c>
      <c r="C39" s="15"/>
      <c r="D39" s="55">
        <v>101602</v>
      </c>
      <c r="E39" s="482">
        <v>10</v>
      </c>
      <c r="F39" s="483">
        <f t="shared" si="0"/>
        <v>40071</v>
      </c>
      <c r="G39" s="484">
        <f t="shared" si="1"/>
        <v>41406</v>
      </c>
      <c r="H39" s="485">
        <v>27714</v>
      </c>
      <c r="I39" s="486">
        <v>27450</v>
      </c>
      <c r="J39" s="485">
        <v>5673</v>
      </c>
      <c r="K39" s="486">
        <v>5505</v>
      </c>
      <c r="L39" s="485">
        <v>6684</v>
      </c>
      <c r="M39" s="485"/>
      <c r="N39" s="485"/>
      <c r="O39" s="486">
        <v>8451</v>
      </c>
      <c r="P39" s="486"/>
      <c r="Q39" s="486"/>
      <c r="R39" s="485"/>
      <c r="S39" s="486"/>
      <c r="T39" s="483">
        <f t="shared" si="2"/>
        <v>0</v>
      </c>
      <c r="U39" s="484">
        <f t="shared" si="3"/>
        <v>0</v>
      </c>
      <c r="V39" s="485"/>
      <c r="W39" s="486"/>
      <c r="X39" s="485"/>
      <c r="Y39" s="486"/>
      <c r="Z39" s="485"/>
      <c r="AA39" s="485"/>
      <c r="AB39" s="485"/>
      <c r="AC39" s="486"/>
      <c r="AD39" s="486"/>
      <c r="AE39" s="486"/>
      <c r="AF39" s="485"/>
      <c r="AG39" s="486"/>
    </row>
    <row r="40" spans="1:33">
      <c r="A40" s="98" t="s">
        <v>50</v>
      </c>
      <c r="B40" s="489" t="s">
        <v>943</v>
      </c>
      <c r="C40" s="14" t="s">
        <v>944</v>
      </c>
      <c r="D40" s="55">
        <v>101897</v>
      </c>
      <c r="E40" s="482">
        <v>10</v>
      </c>
      <c r="F40" s="483">
        <f t="shared" si="0"/>
        <v>56464</v>
      </c>
      <c r="G40" s="484">
        <f t="shared" si="1"/>
        <v>60811</v>
      </c>
      <c r="H40" s="485">
        <v>39100</v>
      </c>
      <c r="I40" s="486">
        <v>40355</v>
      </c>
      <c r="J40" s="485">
        <v>0</v>
      </c>
      <c r="K40" s="486">
        <v>24</v>
      </c>
      <c r="L40" s="485">
        <v>17364</v>
      </c>
      <c r="M40" s="485"/>
      <c r="N40" s="485"/>
      <c r="O40" s="486">
        <v>20432</v>
      </c>
      <c r="P40" s="486"/>
      <c r="Q40" s="486"/>
      <c r="R40" s="485"/>
      <c r="S40" s="486"/>
      <c r="T40" s="483">
        <f t="shared" si="2"/>
        <v>0</v>
      </c>
      <c r="U40" s="484">
        <f t="shared" si="3"/>
        <v>0</v>
      </c>
      <c r="V40" s="485"/>
      <c r="W40" s="486"/>
      <c r="X40" s="485"/>
      <c r="Y40" s="486"/>
      <c r="Z40" s="485"/>
      <c r="AA40" s="485"/>
      <c r="AB40" s="485"/>
      <c r="AC40" s="486"/>
      <c r="AD40" s="486"/>
      <c r="AE40" s="486"/>
      <c r="AF40" s="485"/>
      <c r="AG40" s="486"/>
    </row>
    <row r="41" spans="1:33">
      <c r="A41" s="98" t="s">
        <v>50</v>
      </c>
      <c r="B41" s="481" t="s">
        <v>80</v>
      </c>
      <c r="C41" s="14" t="s">
        <v>944</v>
      </c>
      <c r="D41" s="55">
        <v>102076</v>
      </c>
      <c r="E41" s="482">
        <v>10</v>
      </c>
      <c r="F41" s="483">
        <f t="shared" si="0"/>
        <v>58698</v>
      </c>
      <c r="G41" s="484">
        <f t="shared" si="1"/>
        <v>60358</v>
      </c>
      <c r="H41" s="485">
        <v>27443</v>
      </c>
      <c r="I41" s="486">
        <v>24299</v>
      </c>
      <c r="J41" s="485">
        <v>0</v>
      </c>
      <c r="K41" s="486">
        <v>0</v>
      </c>
      <c r="L41" s="485">
        <v>31255</v>
      </c>
      <c r="M41" s="485"/>
      <c r="N41" s="485"/>
      <c r="O41" s="486">
        <v>36059</v>
      </c>
      <c r="P41" s="486"/>
      <c r="Q41" s="486"/>
      <c r="R41" s="485"/>
      <c r="S41" s="486"/>
      <c r="T41" s="483">
        <f t="shared" si="2"/>
        <v>0</v>
      </c>
      <c r="U41" s="484">
        <f t="shared" si="3"/>
        <v>0</v>
      </c>
      <c r="V41" s="485"/>
      <c r="W41" s="486"/>
      <c r="X41" s="485"/>
      <c r="Y41" s="486"/>
      <c r="Z41" s="485"/>
      <c r="AA41" s="485"/>
      <c r="AB41" s="485"/>
      <c r="AC41" s="486"/>
      <c r="AD41" s="486"/>
      <c r="AE41" s="486"/>
      <c r="AF41" s="485"/>
      <c r="AG41" s="486"/>
    </row>
    <row r="42" spans="1:33">
      <c r="A42" s="98" t="s">
        <v>50</v>
      </c>
      <c r="B42" s="99" t="s">
        <v>945</v>
      </c>
      <c r="C42" s="15"/>
      <c r="D42" s="55">
        <v>102313</v>
      </c>
      <c r="E42" s="482">
        <v>12</v>
      </c>
      <c r="F42" s="483">
        <f t="shared" si="0"/>
        <v>40249</v>
      </c>
      <c r="G42" s="484">
        <f t="shared" si="1"/>
        <v>41951</v>
      </c>
      <c r="H42" s="485">
        <v>35030</v>
      </c>
      <c r="I42" s="486">
        <v>36519</v>
      </c>
      <c r="J42" s="485">
        <v>1901</v>
      </c>
      <c r="K42" s="486">
        <v>1815</v>
      </c>
      <c r="L42" s="485">
        <v>3318</v>
      </c>
      <c r="M42" s="485"/>
      <c r="N42" s="485"/>
      <c r="O42" s="486">
        <v>3617</v>
      </c>
      <c r="P42" s="486"/>
      <c r="Q42" s="486"/>
      <c r="R42" s="485"/>
      <c r="S42" s="486"/>
      <c r="T42" s="483">
        <f t="shared" si="2"/>
        <v>0</v>
      </c>
      <c r="U42" s="484">
        <f t="shared" si="3"/>
        <v>0</v>
      </c>
      <c r="V42" s="485"/>
      <c r="W42" s="486"/>
      <c r="X42" s="485"/>
      <c r="Y42" s="486"/>
      <c r="Z42" s="485"/>
      <c r="AA42" s="485"/>
      <c r="AB42" s="485"/>
      <c r="AC42" s="486"/>
      <c r="AD42" s="486"/>
      <c r="AE42" s="486"/>
      <c r="AF42" s="485"/>
      <c r="AG42" s="486"/>
    </row>
    <row r="43" spans="1:33">
      <c r="A43" s="98" t="s">
        <v>50</v>
      </c>
      <c r="B43" s="99" t="s">
        <v>946</v>
      </c>
      <c r="C43" s="15"/>
      <c r="D43" s="55">
        <v>101462</v>
      </c>
      <c r="E43" s="482">
        <v>13</v>
      </c>
      <c r="F43" s="483">
        <f t="shared" si="0"/>
        <v>18179</v>
      </c>
      <c r="G43" s="484">
        <f t="shared" si="1"/>
        <v>17250</v>
      </c>
      <c r="H43" s="485">
        <v>11503</v>
      </c>
      <c r="I43" s="486">
        <v>11563</v>
      </c>
      <c r="J43" s="485">
        <v>2268</v>
      </c>
      <c r="K43" s="486">
        <v>1918</v>
      </c>
      <c r="L43" s="485">
        <v>4408</v>
      </c>
      <c r="M43" s="485"/>
      <c r="N43" s="485"/>
      <c r="O43" s="486">
        <v>3769</v>
      </c>
      <c r="P43" s="486"/>
      <c r="Q43" s="486"/>
      <c r="R43" s="485"/>
      <c r="S43" s="486"/>
      <c r="T43" s="483">
        <f t="shared" si="2"/>
        <v>0</v>
      </c>
      <c r="U43" s="484">
        <f t="shared" si="3"/>
        <v>0</v>
      </c>
      <c r="V43" s="485"/>
      <c r="W43" s="486"/>
      <c r="X43" s="485"/>
      <c r="Y43" s="486"/>
      <c r="Z43" s="485"/>
      <c r="AA43" s="485"/>
      <c r="AB43" s="485"/>
      <c r="AC43" s="486"/>
      <c r="AD43" s="486"/>
      <c r="AE43" s="486"/>
      <c r="AF43" s="485"/>
      <c r="AG43" s="486"/>
    </row>
    <row r="44" spans="1:33">
      <c r="A44" s="98" t="s">
        <v>50</v>
      </c>
      <c r="B44" s="481" t="s">
        <v>81</v>
      </c>
      <c r="C44" s="15"/>
      <c r="D44" s="55">
        <v>101471</v>
      </c>
      <c r="E44" s="482">
        <v>13</v>
      </c>
      <c r="F44" s="483">
        <f t="shared" si="0"/>
        <v>15888</v>
      </c>
      <c r="G44" s="484">
        <f t="shared" si="1"/>
        <v>14994</v>
      </c>
      <c r="H44" s="485">
        <v>15888</v>
      </c>
      <c r="I44" s="486">
        <v>14994</v>
      </c>
      <c r="J44" s="485">
        <v>0</v>
      </c>
      <c r="K44" s="486">
        <v>0</v>
      </c>
      <c r="L44" s="485">
        <v>0</v>
      </c>
      <c r="M44" s="485"/>
      <c r="N44" s="485"/>
      <c r="O44" s="486">
        <v>0</v>
      </c>
      <c r="P44" s="486"/>
      <c r="Q44" s="486"/>
      <c r="R44" s="485"/>
      <c r="S44" s="486"/>
      <c r="T44" s="483">
        <f t="shared" si="2"/>
        <v>0</v>
      </c>
      <c r="U44" s="484">
        <f t="shared" si="3"/>
        <v>0</v>
      </c>
      <c r="V44" s="485"/>
      <c r="W44" s="486"/>
      <c r="X44" s="485"/>
      <c r="Y44" s="486"/>
      <c r="Z44" s="485"/>
      <c r="AA44" s="485"/>
      <c r="AB44" s="485"/>
      <c r="AC44" s="486"/>
      <c r="AD44" s="486"/>
      <c r="AE44" s="486"/>
      <c r="AF44" s="485"/>
      <c r="AG44" s="486"/>
    </row>
    <row r="45" spans="1:33">
      <c r="A45" s="98" t="s">
        <v>50</v>
      </c>
      <c r="B45" s="481" t="s">
        <v>82</v>
      </c>
      <c r="C45" s="15"/>
      <c r="D45" s="55">
        <v>101994</v>
      </c>
      <c r="E45" s="482">
        <v>13</v>
      </c>
      <c r="F45" s="483">
        <f t="shared" si="0"/>
        <v>10491</v>
      </c>
      <c r="G45" s="484">
        <f t="shared" si="1"/>
        <v>8717</v>
      </c>
      <c r="H45" s="485">
        <v>10491</v>
      </c>
      <c r="I45" s="486">
        <v>8634</v>
      </c>
      <c r="J45" s="485">
        <v>0</v>
      </c>
      <c r="K45" s="486">
        <v>56</v>
      </c>
      <c r="L45" s="485">
        <v>0</v>
      </c>
      <c r="M45" s="485"/>
      <c r="N45" s="485"/>
      <c r="O45" s="486">
        <v>27</v>
      </c>
      <c r="P45" s="486"/>
      <c r="Q45" s="486"/>
      <c r="R45" s="485"/>
      <c r="S45" s="486"/>
      <c r="T45" s="483">
        <f t="shared" si="2"/>
        <v>0</v>
      </c>
      <c r="U45" s="484">
        <f t="shared" si="3"/>
        <v>0</v>
      </c>
      <c r="V45" s="485"/>
      <c r="W45" s="486"/>
      <c r="X45" s="485"/>
      <c r="Y45" s="486"/>
      <c r="Z45" s="485"/>
      <c r="AA45" s="485"/>
      <c r="AB45" s="485"/>
      <c r="AC45" s="486"/>
      <c r="AD45" s="486"/>
      <c r="AE45" s="486"/>
      <c r="AF45" s="485"/>
      <c r="AG45" s="486"/>
    </row>
    <row r="46" spans="1:33">
      <c r="A46" s="98" t="s">
        <v>50</v>
      </c>
      <c r="B46" s="481" t="s">
        <v>83</v>
      </c>
      <c r="C46" s="15"/>
      <c r="D46" s="55">
        <v>101648</v>
      </c>
      <c r="E46" s="482">
        <v>15</v>
      </c>
      <c r="F46" s="483">
        <f t="shared" si="0"/>
        <v>13899</v>
      </c>
      <c r="G46" s="484">
        <f t="shared" si="1"/>
        <v>13456</v>
      </c>
      <c r="H46" s="485">
        <v>13796</v>
      </c>
      <c r="I46" s="486">
        <v>13272</v>
      </c>
      <c r="J46" s="485">
        <v>0</v>
      </c>
      <c r="K46" s="486">
        <v>0</v>
      </c>
      <c r="L46" s="485">
        <v>103</v>
      </c>
      <c r="M46" s="485"/>
      <c r="N46" s="485"/>
      <c r="O46" s="486">
        <v>184</v>
      </c>
      <c r="P46" s="486"/>
      <c r="Q46" s="486"/>
      <c r="R46" s="485"/>
      <c r="S46" s="486"/>
      <c r="T46" s="483">
        <f t="shared" si="2"/>
        <v>0</v>
      </c>
      <c r="U46" s="484">
        <f t="shared" si="3"/>
        <v>0</v>
      </c>
      <c r="V46" s="485"/>
      <c r="W46" s="486"/>
      <c r="X46" s="485"/>
      <c r="Y46" s="486"/>
      <c r="Z46" s="485"/>
      <c r="AA46" s="485"/>
      <c r="AB46" s="485"/>
      <c r="AC46" s="486"/>
      <c r="AD46" s="486"/>
      <c r="AE46" s="486"/>
      <c r="AF46" s="485"/>
      <c r="AG46" s="486"/>
    </row>
    <row r="47" spans="1:33">
      <c r="A47" s="12" t="s">
        <v>84</v>
      </c>
      <c r="B47" s="137" t="s">
        <v>85</v>
      </c>
      <c r="C47" s="7"/>
      <c r="D47" s="11">
        <v>106397</v>
      </c>
      <c r="E47" s="138">
        <v>1</v>
      </c>
      <c r="F47" s="483">
        <f t="shared" si="0"/>
        <v>648938</v>
      </c>
      <c r="G47" s="484">
        <f t="shared" si="1"/>
        <v>658267</v>
      </c>
      <c r="H47" s="485">
        <v>579933</v>
      </c>
      <c r="I47" s="486">
        <v>586848</v>
      </c>
      <c r="J47" s="485">
        <v>9280</v>
      </c>
      <c r="K47" s="486">
        <v>8301</v>
      </c>
      <c r="L47" s="485">
        <v>55804</v>
      </c>
      <c r="M47" s="485">
        <v>342</v>
      </c>
      <c r="N47" s="485">
        <v>27</v>
      </c>
      <c r="O47" s="486">
        <v>58649</v>
      </c>
      <c r="P47" s="486">
        <v>356</v>
      </c>
      <c r="Q47" s="486">
        <v>27</v>
      </c>
      <c r="R47" s="485">
        <v>3552</v>
      </c>
      <c r="S47" s="486">
        <v>4086</v>
      </c>
      <c r="T47" s="483">
        <f t="shared" si="2"/>
        <v>79947</v>
      </c>
      <c r="U47" s="484">
        <f t="shared" si="3"/>
        <v>79091</v>
      </c>
      <c r="V47" s="485">
        <v>54611</v>
      </c>
      <c r="W47" s="486">
        <v>53073</v>
      </c>
      <c r="X47" s="485">
        <v>1026</v>
      </c>
      <c r="Y47" s="486">
        <v>556</v>
      </c>
      <c r="Z47" s="485">
        <v>24301</v>
      </c>
      <c r="AA47" s="485">
        <v>9</v>
      </c>
      <c r="AB47" s="485">
        <v>0</v>
      </c>
      <c r="AC47" s="486">
        <v>25272</v>
      </c>
      <c r="AD47" s="486">
        <v>30</v>
      </c>
      <c r="AE47" s="486">
        <v>0</v>
      </c>
      <c r="AF47" s="485">
        <v>0</v>
      </c>
      <c r="AG47" s="486">
        <v>160</v>
      </c>
    </row>
    <row r="48" spans="1:33">
      <c r="A48" s="12" t="s">
        <v>84</v>
      </c>
      <c r="B48" s="137" t="s">
        <v>86</v>
      </c>
      <c r="C48" s="7"/>
      <c r="D48" s="11">
        <v>106245</v>
      </c>
      <c r="E48" s="138">
        <v>2</v>
      </c>
      <c r="F48" s="483">
        <f t="shared" si="0"/>
        <v>205875</v>
      </c>
      <c r="G48" s="484">
        <f t="shared" si="1"/>
        <v>203956</v>
      </c>
      <c r="H48" s="485">
        <v>111480</v>
      </c>
      <c r="I48" s="486">
        <v>105993</v>
      </c>
      <c r="J48" s="485">
        <v>22281</v>
      </c>
      <c r="K48" s="486">
        <v>25264</v>
      </c>
      <c r="L48" s="485">
        <v>72114</v>
      </c>
      <c r="M48" s="485">
        <v>0</v>
      </c>
      <c r="N48" s="485">
        <v>0</v>
      </c>
      <c r="O48" s="486">
        <v>72603</v>
      </c>
      <c r="P48" s="486">
        <v>0</v>
      </c>
      <c r="Q48" s="486">
        <v>0</v>
      </c>
      <c r="R48" s="485">
        <v>0</v>
      </c>
      <c r="S48" s="486">
        <v>96</v>
      </c>
      <c r="T48" s="483">
        <f t="shared" si="2"/>
        <v>42251</v>
      </c>
      <c r="U48" s="484">
        <f t="shared" si="3"/>
        <v>42678</v>
      </c>
      <c r="V48" s="485">
        <v>29969</v>
      </c>
      <c r="W48" s="486">
        <v>29534</v>
      </c>
      <c r="X48" s="485">
        <v>204</v>
      </c>
      <c r="Y48" s="486">
        <v>665</v>
      </c>
      <c r="Z48" s="485">
        <v>12078</v>
      </c>
      <c r="AA48" s="485">
        <v>0</v>
      </c>
      <c r="AB48" s="485">
        <v>0</v>
      </c>
      <c r="AC48" s="486">
        <v>12446</v>
      </c>
      <c r="AD48" s="486">
        <v>0</v>
      </c>
      <c r="AE48" s="486">
        <v>0</v>
      </c>
      <c r="AF48" s="485">
        <v>0</v>
      </c>
      <c r="AG48" s="486">
        <v>33</v>
      </c>
    </row>
    <row r="49" spans="1:33">
      <c r="A49" s="12" t="s">
        <v>84</v>
      </c>
      <c r="B49" s="137" t="s">
        <v>87</v>
      </c>
      <c r="C49" s="7"/>
      <c r="D49" s="11">
        <v>106458</v>
      </c>
      <c r="E49" s="138">
        <v>3</v>
      </c>
      <c r="F49" s="483">
        <f t="shared" si="0"/>
        <v>263051</v>
      </c>
      <c r="G49" s="484">
        <f t="shared" si="1"/>
        <v>259951</v>
      </c>
      <c r="H49" s="485">
        <v>167218</v>
      </c>
      <c r="I49" s="486">
        <v>164056</v>
      </c>
      <c r="J49" s="485">
        <v>16066</v>
      </c>
      <c r="K49" s="486">
        <v>16221</v>
      </c>
      <c r="L49" s="485">
        <v>78563</v>
      </c>
      <c r="M49" s="485">
        <v>1204</v>
      </c>
      <c r="N49" s="485">
        <v>0</v>
      </c>
      <c r="O49" s="486">
        <v>78616</v>
      </c>
      <c r="P49" s="486">
        <v>987</v>
      </c>
      <c r="Q49" s="486">
        <v>0</v>
      </c>
      <c r="R49" s="485">
        <v>0</v>
      </c>
      <c r="S49" s="486">
        <v>71</v>
      </c>
      <c r="T49" s="483">
        <f t="shared" si="2"/>
        <v>97384</v>
      </c>
      <c r="U49" s="484">
        <f t="shared" si="3"/>
        <v>99847</v>
      </c>
      <c r="V49" s="485">
        <v>22027</v>
      </c>
      <c r="W49" s="486">
        <v>21978</v>
      </c>
      <c r="X49" s="485">
        <v>12</v>
      </c>
      <c r="Y49" s="486">
        <v>6</v>
      </c>
      <c r="Z49" s="485">
        <v>75330</v>
      </c>
      <c r="AA49" s="485">
        <v>0</v>
      </c>
      <c r="AB49" s="485">
        <v>15</v>
      </c>
      <c r="AC49" s="486">
        <v>77833</v>
      </c>
      <c r="AD49" s="486">
        <v>0</v>
      </c>
      <c r="AE49" s="486">
        <v>15</v>
      </c>
      <c r="AF49" s="485">
        <v>0</v>
      </c>
      <c r="AG49" s="486">
        <v>15</v>
      </c>
    </row>
    <row r="50" spans="1:33">
      <c r="A50" s="12" t="s">
        <v>84</v>
      </c>
      <c r="B50" s="137" t="s">
        <v>88</v>
      </c>
      <c r="C50" s="6"/>
      <c r="D50" s="11">
        <v>106467</v>
      </c>
      <c r="E50" s="138">
        <v>3</v>
      </c>
      <c r="F50" s="483">
        <f t="shared" si="0"/>
        <v>231675</v>
      </c>
      <c r="G50" s="484">
        <f t="shared" si="1"/>
        <v>243727</v>
      </c>
      <c r="H50" s="485">
        <v>157263</v>
      </c>
      <c r="I50" s="486">
        <v>161776</v>
      </c>
      <c r="J50" s="485">
        <v>13568</v>
      </c>
      <c r="K50" s="486">
        <v>17997</v>
      </c>
      <c r="L50" s="485">
        <v>58822</v>
      </c>
      <c r="M50" s="485">
        <v>0</v>
      </c>
      <c r="N50" s="485">
        <v>2022</v>
      </c>
      <c r="O50" s="486">
        <v>61999</v>
      </c>
      <c r="P50" s="486">
        <v>0</v>
      </c>
      <c r="Q50" s="486">
        <v>1955</v>
      </c>
      <c r="R50" s="485">
        <v>0</v>
      </c>
      <c r="S50" s="486">
        <v>0</v>
      </c>
      <c r="T50" s="483">
        <f t="shared" si="2"/>
        <v>14243</v>
      </c>
      <c r="U50" s="484">
        <f t="shared" si="3"/>
        <v>15860</v>
      </c>
      <c r="V50" s="485">
        <v>4456</v>
      </c>
      <c r="W50" s="486">
        <v>5220</v>
      </c>
      <c r="X50" s="485">
        <v>302</v>
      </c>
      <c r="Y50" s="486">
        <v>150</v>
      </c>
      <c r="Z50" s="485">
        <v>8924</v>
      </c>
      <c r="AA50" s="485">
        <v>0</v>
      </c>
      <c r="AB50" s="485">
        <v>561</v>
      </c>
      <c r="AC50" s="486">
        <v>9793</v>
      </c>
      <c r="AD50" s="486">
        <v>0</v>
      </c>
      <c r="AE50" s="486">
        <v>697</v>
      </c>
      <c r="AF50" s="485">
        <v>0</v>
      </c>
      <c r="AG50" s="486">
        <v>0</v>
      </c>
    </row>
    <row r="51" spans="1:33">
      <c r="A51" s="12" t="s">
        <v>84</v>
      </c>
      <c r="B51" s="137" t="s">
        <v>89</v>
      </c>
      <c r="C51" s="7"/>
      <c r="D51" s="11">
        <v>106704</v>
      </c>
      <c r="E51" s="138">
        <v>3</v>
      </c>
      <c r="F51" s="483">
        <f t="shared" si="0"/>
        <v>265178</v>
      </c>
      <c r="G51" s="484">
        <f t="shared" si="1"/>
        <v>262529</v>
      </c>
      <c r="H51" s="485">
        <v>236960</v>
      </c>
      <c r="I51" s="486">
        <v>231454</v>
      </c>
      <c r="J51" s="485">
        <v>4256</v>
      </c>
      <c r="K51" s="486">
        <v>4324</v>
      </c>
      <c r="L51" s="485">
        <v>23776</v>
      </c>
      <c r="M51" s="485">
        <v>186</v>
      </c>
      <c r="N51" s="485">
        <v>0</v>
      </c>
      <c r="O51" s="486">
        <v>26355</v>
      </c>
      <c r="P51" s="486">
        <v>378</v>
      </c>
      <c r="Q51" s="486">
        <v>0</v>
      </c>
      <c r="R51" s="485">
        <v>0</v>
      </c>
      <c r="S51" s="486">
        <v>18</v>
      </c>
      <c r="T51" s="483">
        <f t="shared" si="2"/>
        <v>37102</v>
      </c>
      <c r="U51" s="484">
        <f t="shared" si="3"/>
        <v>36613</v>
      </c>
      <c r="V51" s="485">
        <v>20105</v>
      </c>
      <c r="W51" s="486">
        <v>20558</v>
      </c>
      <c r="X51" s="485">
        <v>0</v>
      </c>
      <c r="Y51" s="486">
        <v>0</v>
      </c>
      <c r="Z51" s="485">
        <v>12202</v>
      </c>
      <c r="AA51" s="485">
        <v>4795</v>
      </c>
      <c r="AB51" s="485">
        <v>0</v>
      </c>
      <c r="AC51" s="486">
        <v>11806</v>
      </c>
      <c r="AD51" s="486">
        <v>4249</v>
      </c>
      <c r="AE51" s="486">
        <v>0</v>
      </c>
      <c r="AF51" s="485">
        <v>0</v>
      </c>
      <c r="AG51" s="486">
        <v>0</v>
      </c>
    </row>
    <row r="52" spans="1:33">
      <c r="A52" s="12" t="s">
        <v>84</v>
      </c>
      <c r="B52" s="137" t="s">
        <v>90</v>
      </c>
      <c r="C52" s="7"/>
      <c r="D52" s="11">
        <v>107071</v>
      </c>
      <c r="E52" s="138">
        <v>4</v>
      </c>
      <c r="F52" s="483">
        <f t="shared" si="0"/>
        <v>83926</v>
      </c>
      <c r="G52" s="484">
        <f t="shared" si="1"/>
        <v>83324</v>
      </c>
      <c r="H52" s="485">
        <v>66438</v>
      </c>
      <c r="I52" s="486">
        <v>64997</v>
      </c>
      <c r="J52" s="485">
        <v>2225</v>
      </c>
      <c r="K52" s="486">
        <v>1824</v>
      </c>
      <c r="L52" s="485">
        <v>15263</v>
      </c>
      <c r="M52" s="485">
        <v>0</v>
      </c>
      <c r="N52" s="485">
        <v>0</v>
      </c>
      <c r="O52" s="486">
        <v>16358</v>
      </c>
      <c r="P52" s="486">
        <v>0</v>
      </c>
      <c r="Q52" s="486">
        <v>0</v>
      </c>
      <c r="R52" s="485">
        <v>0</v>
      </c>
      <c r="S52" s="486">
        <v>145</v>
      </c>
      <c r="T52" s="483">
        <f t="shared" si="2"/>
        <v>7745</v>
      </c>
      <c r="U52" s="484">
        <f t="shared" si="3"/>
        <v>7674</v>
      </c>
      <c r="V52" s="485">
        <v>2186</v>
      </c>
      <c r="W52" s="486">
        <v>2179</v>
      </c>
      <c r="X52" s="485">
        <v>168</v>
      </c>
      <c r="Y52" s="486">
        <v>129</v>
      </c>
      <c r="Z52" s="485">
        <v>5391</v>
      </c>
      <c r="AA52" s="485">
        <v>0</v>
      </c>
      <c r="AB52" s="485">
        <v>0</v>
      </c>
      <c r="AC52" s="486">
        <v>5357</v>
      </c>
      <c r="AD52" s="486">
        <v>0</v>
      </c>
      <c r="AE52" s="486">
        <v>0</v>
      </c>
      <c r="AF52" s="485">
        <v>0</v>
      </c>
      <c r="AG52" s="486">
        <v>9</v>
      </c>
    </row>
    <row r="53" spans="1:33">
      <c r="A53" s="12" t="s">
        <v>84</v>
      </c>
      <c r="B53" s="137" t="s">
        <v>91</v>
      </c>
      <c r="C53" s="6"/>
      <c r="D53" s="11">
        <v>107983</v>
      </c>
      <c r="E53" s="138">
        <v>4</v>
      </c>
      <c r="F53" s="483">
        <f t="shared" si="0"/>
        <v>94715</v>
      </c>
      <c r="G53" s="484">
        <f t="shared" si="1"/>
        <v>96189</v>
      </c>
      <c r="H53" s="485">
        <v>75063</v>
      </c>
      <c r="I53" s="486">
        <v>75130</v>
      </c>
      <c r="J53" s="485">
        <v>2062</v>
      </c>
      <c r="K53" s="486">
        <v>1995</v>
      </c>
      <c r="L53" s="485">
        <v>17590</v>
      </c>
      <c r="M53" s="485">
        <v>0</v>
      </c>
      <c r="N53" s="485">
        <v>0</v>
      </c>
      <c r="O53" s="486">
        <v>19064</v>
      </c>
      <c r="P53" s="486">
        <v>0</v>
      </c>
      <c r="Q53" s="486">
        <v>0</v>
      </c>
      <c r="R53" s="485">
        <v>0</v>
      </c>
      <c r="S53" s="486">
        <v>0</v>
      </c>
      <c r="T53" s="483">
        <f t="shared" si="2"/>
        <v>22276</v>
      </c>
      <c r="U53" s="484">
        <f t="shared" si="3"/>
        <v>17821</v>
      </c>
      <c r="V53" s="485">
        <v>1827</v>
      </c>
      <c r="W53" s="486">
        <v>1578</v>
      </c>
      <c r="X53" s="485">
        <v>4072</v>
      </c>
      <c r="Y53" s="486">
        <v>2455</v>
      </c>
      <c r="Z53" s="485">
        <v>16377</v>
      </c>
      <c r="AA53" s="485">
        <v>0</v>
      </c>
      <c r="AB53" s="485">
        <v>0</v>
      </c>
      <c r="AC53" s="486">
        <v>13788</v>
      </c>
      <c r="AD53" s="486">
        <v>0</v>
      </c>
      <c r="AE53" s="486">
        <v>0</v>
      </c>
      <c r="AF53" s="485">
        <v>0</v>
      </c>
      <c r="AG53" s="486">
        <v>0</v>
      </c>
    </row>
    <row r="54" spans="1:33">
      <c r="A54" s="12" t="s">
        <v>84</v>
      </c>
      <c r="B54" s="137" t="s">
        <v>92</v>
      </c>
      <c r="C54" s="7" t="s">
        <v>947</v>
      </c>
      <c r="D54" s="11">
        <v>106485</v>
      </c>
      <c r="E54" s="138">
        <v>5</v>
      </c>
      <c r="F54" s="483">
        <f t="shared" si="0"/>
        <v>74004</v>
      </c>
      <c r="G54" s="484">
        <f t="shared" si="1"/>
        <v>78724</v>
      </c>
      <c r="H54" s="485">
        <v>49391</v>
      </c>
      <c r="I54" s="486">
        <v>49046</v>
      </c>
      <c r="J54" s="485">
        <v>7076</v>
      </c>
      <c r="K54" s="486">
        <v>10739</v>
      </c>
      <c r="L54" s="485">
        <v>17519</v>
      </c>
      <c r="M54" s="485">
        <v>18</v>
      </c>
      <c r="N54" s="485">
        <v>0</v>
      </c>
      <c r="O54" s="486">
        <v>18336</v>
      </c>
      <c r="P54" s="486">
        <v>3</v>
      </c>
      <c r="Q54" s="486">
        <v>0</v>
      </c>
      <c r="R54" s="485">
        <v>0</v>
      </c>
      <c r="S54" s="486">
        <v>600</v>
      </c>
      <c r="T54" s="483">
        <f t="shared" si="2"/>
        <v>5793</v>
      </c>
      <c r="U54" s="484">
        <f t="shared" si="3"/>
        <v>5987</v>
      </c>
      <c r="V54" s="485">
        <v>855</v>
      </c>
      <c r="W54" s="486">
        <v>979</v>
      </c>
      <c r="X54" s="485">
        <v>0</v>
      </c>
      <c r="Y54" s="486"/>
      <c r="Z54" s="485">
        <v>4938</v>
      </c>
      <c r="AA54" s="485">
        <v>0</v>
      </c>
      <c r="AB54" s="485">
        <v>0</v>
      </c>
      <c r="AC54" s="486">
        <v>5008</v>
      </c>
      <c r="AD54" s="486">
        <v>0</v>
      </c>
      <c r="AE54" s="486">
        <v>0</v>
      </c>
      <c r="AF54" s="485">
        <v>0</v>
      </c>
      <c r="AG54" s="486">
        <v>0</v>
      </c>
    </row>
    <row r="55" spans="1:33">
      <c r="A55" s="12" t="s">
        <v>84</v>
      </c>
      <c r="B55" s="137" t="s">
        <v>93</v>
      </c>
      <c r="C55" s="7"/>
      <c r="D55" s="11">
        <v>108092</v>
      </c>
      <c r="E55" s="138">
        <v>6</v>
      </c>
      <c r="F55" s="483">
        <f t="shared" si="0"/>
        <v>158357</v>
      </c>
      <c r="G55" s="484">
        <f t="shared" si="1"/>
        <v>157956</v>
      </c>
      <c r="H55" s="485">
        <v>116105</v>
      </c>
      <c r="I55" s="486">
        <v>105474</v>
      </c>
      <c r="J55" s="485">
        <v>4300</v>
      </c>
      <c r="K55" s="486">
        <v>12470</v>
      </c>
      <c r="L55" s="485">
        <v>37952</v>
      </c>
      <c r="M55" s="485">
        <v>0</v>
      </c>
      <c r="N55" s="485">
        <v>0</v>
      </c>
      <c r="O55" s="486">
        <v>40012</v>
      </c>
      <c r="P55" s="486">
        <v>0</v>
      </c>
      <c r="Q55" s="486">
        <v>0</v>
      </c>
      <c r="R55" s="485">
        <v>0</v>
      </c>
      <c r="S55" s="486">
        <v>0</v>
      </c>
      <c r="T55" s="483">
        <f t="shared" si="2"/>
        <v>186</v>
      </c>
      <c r="U55" s="484">
        <f t="shared" si="3"/>
        <v>231</v>
      </c>
      <c r="V55" s="485">
        <v>0</v>
      </c>
      <c r="W55" s="486">
        <v>0</v>
      </c>
      <c r="X55" s="485">
        <v>0</v>
      </c>
      <c r="Y55" s="486"/>
      <c r="Z55" s="485">
        <v>186</v>
      </c>
      <c r="AA55" s="485">
        <v>0</v>
      </c>
      <c r="AB55" s="485">
        <v>0</v>
      </c>
      <c r="AC55" s="486">
        <v>231</v>
      </c>
      <c r="AD55" s="486">
        <v>0</v>
      </c>
      <c r="AE55" s="486">
        <v>0</v>
      </c>
      <c r="AF55" s="485">
        <v>0</v>
      </c>
      <c r="AG55" s="486">
        <v>0</v>
      </c>
    </row>
    <row r="56" spans="1:33">
      <c r="A56" s="12" t="s">
        <v>84</v>
      </c>
      <c r="B56" s="137" t="s">
        <v>94</v>
      </c>
      <c r="C56" s="7" t="s">
        <v>935</v>
      </c>
      <c r="D56" s="11">
        <v>106412</v>
      </c>
      <c r="E56" s="138">
        <v>6</v>
      </c>
      <c r="F56" s="483">
        <f t="shared" si="0"/>
        <v>73528</v>
      </c>
      <c r="G56" s="484">
        <f t="shared" si="1"/>
        <v>72699</v>
      </c>
      <c r="H56" s="485">
        <v>60050</v>
      </c>
      <c r="I56" s="486">
        <v>59360</v>
      </c>
      <c r="J56" s="485">
        <v>72</v>
      </c>
      <c r="K56" s="486">
        <v>108</v>
      </c>
      <c r="L56" s="485">
        <v>13406</v>
      </c>
      <c r="M56" s="485">
        <v>0</v>
      </c>
      <c r="N56" s="485">
        <v>0</v>
      </c>
      <c r="O56" s="486">
        <v>13231</v>
      </c>
      <c r="P56" s="486">
        <v>0</v>
      </c>
      <c r="Q56" s="486">
        <v>0</v>
      </c>
      <c r="R56" s="485">
        <v>0</v>
      </c>
      <c r="S56" s="486">
        <v>0</v>
      </c>
      <c r="T56" s="483">
        <f t="shared" si="2"/>
        <v>1472</v>
      </c>
      <c r="U56" s="484">
        <f t="shared" si="3"/>
        <v>1493</v>
      </c>
      <c r="V56" s="485">
        <v>1172</v>
      </c>
      <c r="W56" s="486">
        <v>1160</v>
      </c>
      <c r="X56" s="485">
        <v>0</v>
      </c>
      <c r="Y56" s="486"/>
      <c r="Z56" s="485">
        <v>300</v>
      </c>
      <c r="AA56" s="485">
        <v>0</v>
      </c>
      <c r="AB56" s="485">
        <v>0</v>
      </c>
      <c r="AC56" s="486">
        <v>333</v>
      </c>
      <c r="AD56" s="486">
        <v>0</v>
      </c>
      <c r="AE56" s="486">
        <v>0</v>
      </c>
      <c r="AF56" s="485">
        <v>0</v>
      </c>
      <c r="AG56" s="486">
        <v>0</v>
      </c>
    </row>
    <row r="57" spans="1:33">
      <c r="A57" s="12" t="s">
        <v>84</v>
      </c>
      <c r="B57" s="137" t="s">
        <v>95</v>
      </c>
      <c r="C57" s="7" t="s">
        <v>948</v>
      </c>
      <c r="D57" s="10">
        <v>367459</v>
      </c>
      <c r="E57" s="101">
        <v>8</v>
      </c>
      <c r="F57" s="483">
        <f t="shared" si="0"/>
        <v>150029</v>
      </c>
      <c r="G57" s="484">
        <f t="shared" si="1"/>
        <v>148520</v>
      </c>
      <c r="H57" s="485">
        <v>91859</v>
      </c>
      <c r="I57" s="486">
        <v>90267</v>
      </c>
      <c r="J57" s="485">
        <v>16255</v>
      </c>
      <c r="K57" s="486">
        <v>15621</v>
      </c>
      <c r="L57" s="485">
        <v>41915</v>
      </c>
      <c r="M57" s="485">
        <v>0</v>
      </c>
      <c r="N57" s="485">
        <v>0</v>
      </c>
      <c r="O57" s="486">
        <v>42628</v>
      </c>
      <c r="P57" s="486">
        <v>0</v>
      </c>
      <c r="Q57" s="486">
        <v>0</v>
      </c>
      <c r="R57" s="485">
        <v>0</v>
      </c>
      <c r="S57" s="486">
        <v>4</v>
      </c>
      <c r="T57" s="483">
        <f t="shared" si="2"/>
        <v>0</v>
      </c>
      <c r="U57" s="484">
        <f t="shared" si="3"/>
        <v>0</v>
      </c>
      <c r="V57" s="485"/>
      <c r="W57" s="486"/>
      <c r="X57" s="485"/>
      <c r="Y57" s="486"/>
      <c r="Z57" s="485"/>
      <c r="AA57" s="485"/>
      <c r="AB57" s="485"/>
      <c r="AC57" s="486"/>
      <c r="AD57" s="486"/>
      <c r="AE57" s="486"/>
      <c r="AF57" s="485"/>
      <c r="AG57" s="486"/>
    </row>
    <row r="58" spans="1:33">
      <c r="A58" s="12" t="s">
        <v>84</v>
      </c>
      <c r="B58" s="137" t="s">
        <v>949</v>
      </c>
      <c r="C58" s="6" t="s">
        <v>950</v>
      </c>
      <c r="D58" s="10">
        <v>107664</v>
      </c>
      <c r="E58" s="4">
        <v>9</v>
      </c>
      <c r="F58" s="483">
        <f t="shared" si="0"/>
        <v>124411</v>
      </c>
      <c r="G58" s="484">
        <f t="shared" si="1"/>
        <v>118721</v>
      </c>
      <c r="H58" s="485">
        <v>80904</v>
      </c>
      <c r="I58" s="486">
        <v>75482</v>
      </c>
      <c r="J58" s="485">
        <v>1336</v>
      </c>
      <c r="K58" s="486">
        <v>2538</v>
      </c>
      <c r="L58" s="485">
        <v>42171</v>
      </c>
      <c r="M58" s="485">
        <v>0</v>
      </c>
      <c r="N58" s="485">
        <v>0</v>
      </c>
      <c r="O58" s="486">
        <v>40567</v>
      </c>
      <c r="P58" s="486">
        <v>0</v>
      </c>
      <c r="Q58" s="486">
        <v>0</v>
      </c>
      <c r="R58" s="485">
        <v>0</v>
      </c>
      <c r="S58" s="486">
        <v>134</v>
      </c>
      <c r="T58" s="483">
        <f t="shared" si="2"/>
        <v>0</v>
      </c>
      <c r="U58" s="484">
        <f t="shared" si="3"/>
        <v>0</v>
      </c>
      <c r="V58" s="485"/>
      <c r="W58" s="486"/>
      <c r="X58" s="485"/>
      <c r="Y58" s="486"/>
      <c r="Z58" s="485"/>
      <c r="AA58" s="485"/>
      <c r="AB58" s="485"/>
      <c r="AC58" s="486"/>
      <c r="AD58" s="486"/>
      <c r="AE58" s="486"/>
      <c r="AF58" s="485"/>
      <c r="AG58" s="486"/>
    </row>
    <row r="59" spans="1:33">
      <c r="A59" s="12" t="s">
        <v>84</v>
      </c>
      <c r="B59" s="137" t="s">
        <v>96</v>
      </c>
      <c r="C59" s="7"/>
      <c r="D59" s="10">
        <v>106449</v>
      </c>
      <c r="E59" s="101">
        <v>9</v>
      </c>
      <c r="F59" s="483">
        <f t="shared" si="0"/>
        <v>82537</v>
      </c>
      <c r="G59" s="484">
        <f t="shared" si="1"/>
        <v>80683</v>
      </c>
      <c r="H59" s="485">
        <v>53325</v>
      </c>
      <c r="I59" s="486">
        <v>50029</v>
      </c>
      <c r="J59" s="485">
        <v>8419</v>
      </c>
      <c r="K59" s="486">
        <v>9283</v>
      </c>
      <c r="L59" s="485">
        <v>20724</v>
      </c>
      <c r="M59" s="485">
        <v>69</v>
      </c>
      <c r="N59" s="485">
        <v>0</v>
      </c>
      <c r="O59" s="486">
        <v>21314</v>
      </c>
      <c r="P59" s="486">
        <v>57</v>
      </c>
      <c r="Q59" s="486">
        <v>0</v>
      </c>
      <c r="R59" s="485">
        <v>0</v>
      </c>
      <c r="S59" s="486">
        <v>0</v>
      </c>
      <c r="T59" s="483">
        <f t="shared" si="2"/>
        <v>0</v>
      </c>
      <c r="U59" s="484">
        <f t="shared" si="3"/>
        <v>0</v>
      </c>
      <c r="V59" s="485"/>
      <c r="W59" s="486"/>
      <c r="X59" s="485"/>
      <c r="Y59" s="486"/>
      <c r="Z59" s="485"/>
      <c r="AA59" s="485"/>
      <c r="AB59" s="485"/>
      <c r="AC59" s="486"/>
      <c r="AD59" s="486"/>
      <c r="AE59" s="486"/>
      <c r="AF59" s="485"/>
      <c r="AG59" s="486"/>
    </row>
    <row r="60" spans="1:33">
      <c r="A60" s="12" t="s">
        <v>84</v>
      </c>
      <c r="B60" s="137" t="s">
        <v>98</v>
      </c>
      <c r="C60" s="7"/>
      <c r="D60" s="10">
        <v>107327</v>
      </c>
      <c r="E60" s="101">
        <v>10</v>
      </c>
      <c r="F60" s="483">
        <f t="shared" si="0"/>
        <v>28028</v>
      </c>
      <c r="G60" s="484">
        <f t="shared" si="1"/>
        <v>27550</v>
      </c>
      <c r="H60" s="485">
        <v>18775</v>
      </c>
      <c r="I60" s="486">
        <v>17656</v>
      </c>
      <c r="J60" s="485">
        <v>311</v>
      </c>
      <c r="K60" s="486">
        <v>389</v>
      </c>
      <c r="L60" s="485">
        <v>8942</v>
      </c>
      <c r="M60" s="485">
        <v>0</v>
      </c>
      <c r="N60" s="485">
        <v>0</v>
      </c>
      <c r="O60" s="486">
        <v>9505</v>
      </c>
      <c r="P60" s="486">
        <v>0</v>
      </c>
      <c r="Q60" s="486">
        <v>0</v>
      </c>
      <c r="R60" s="485">
        <v>0</v>
      </c>
      <c r="S60" s="486">
        <v>0</v>
      </c>
      <c r="T60" s="483">
        <f t="shared" si="2"/>
        <v>0</v>
      </c>
      <c r="U60" s="484">
        <f t="shared" si="3"/>
        <v>0</v>
      </c>
      <c r="V60" s="485"/>
      <c r="W60" s="486"/>
      <c r="X60" s="485"/>
      <c r="Y60" s="486"/>
      <c r="Z60" s="485"/>
      <c r="AA60" s="485"/>
      <c r="AB60" s="485"/>
      <c r="AC60" s="486"/>
      <c r="AD60" s="486"/>
      <c r="AE60" s="486"/>
      <c r="AF60" s="485"/>
      <c r="AG60" s="486"/>
    </row>
    <row r="61" spans="1:33">
      <c r="A61" s="12" t="s">
        <v>84</v>
      </c>
      <c r="B61" s="8" t="s">
        <v>99</v>
      </c>
      <c r="C61" s="7"/>
      <c r="D61" s="10">
        <v>107318</v>
      </c>
      <c r="E61" s="101">
        <v>10</v>
      </c>
      <c r="F61" s="483">
        <f t="shared" si="0"/>
        <v>28008</v>
      </c>
      <c r="G61" s="484">
        <f t="shared" si="1"/>
        <v>27040</v>
      </c>
      <c r="H61" s="485">
        <v>23620</v>
      </c>
      <c r="I61" s="486">
        <v>22214</v>
      </c>
      <c r="J61" s="485">
        <v>12</v>
      </c>
      <c r="K61" s="486">
        <v>0</v>
      </c>
      <c r="L61" s="485">
        <v>4376</v>
      </c>
      <c r="M61" s="485">
        <v>0</v>
      </c>
      <c r="N61" s="485">
        <v>0</v>
      </c>
      <c r="O61" s="486">
        <v>4820</v>
      </c>
      <c r="P61" s="486">
        <v>0</v>
      </c>
      <c r="Q61" s="486">
        <v>0</v>
      </c>
      <c r="R61" s="485">
        <v>0</v>
      </c>
      <c r="S61" s="486">
        <v>6</v>
      </c>
      <c r="T61" s="483">
        <f t="shared" si="2"/>
        <v>0</v>
      </c>
      <c r="U61" s="484">
        <f t="shared" si="3"/>
        <v>0</v>
      </c>
      <c r="V61" s="485"/>
      <c r="W61" s="486"/>
      <c r="X61" s="485"/>
      <c r="Y61" s="486"/>
      <c r="Z61" s="485"/>
      <c r="AA61" s="485"/>
      <c r="AB61" s="485"/>
      <c r="AC61" s="486"/>
      <c r="AD61" s="486"/>
      <c r="AE61" s="486"/>
      <c r="AF61" s="485"/>
      <c r="AG61" s="486"/>
    </row>
    <row r="62" spans="1:33">
      <c r="A62" s="12" t="s">
        <v>84</v>
      </c>
      <c r="B62" s="137" t="s">
        <v>100</v>
      </c>
      <c r="C62" s="7"/>
      <c r="D62" s="10">
        <v>420538</v>
      </c>
      <c r="E62" s="101">
        <v>10</v>
      </c>
      <c r="F62" s="483">
        <f t="shared" si="0"/>
        <v>29408</v>
      </c>
      <c r="G62" s="484">
        <f t="shared" si="1"/>
        <v>29732</v>
      </c>
      <c r="H62" s="485">
        <v>12951</v>
      </c>
      <c r="I62" s="486">
        <v>14046</v>
      </c>
      <c r="J62" s="485">
        <v>5024</v>
      </c>
      <c r="K62" s="486">
        <v>4148</v>
      </c>
      <c r="L62" s="485">
        <v>10949</v>
      </c>
      <c r="M62" s="485">
        <v>484</v>
      </c>
      <c r="N62" s="485">
        <v>0</v>
      </c>
      <c r="O62" s="486">
        <v>11232</v>
      </c>
      <c r="P62" s="486">
        <v>306</v>
      </c>
      <c r="Q62" s="486">
        <v>0</v>
      </c>
      <c r="R62" s="485">
        <v>0</v>
      </c>
      <c r="S62" s="486">
        <v>0</v>
      </c>
      <c r="T62" s="483">
        <f t="shared" si="2"/>
        <v>0</v>
      </c>
      <c r="U62" s="484">
        <f t="shared" si="3"/>
        <v>0</v>
      </c>
      <c r="V62" s="485"/>
      <c r="W62" s="486"/>
      <c r="X62" s="485"/>
      <c r="Y62" s="486"/>
      <c r="Z62" s="485"/>
      <c r="AA62" s="485"/>
      <c r="AB62" s="485"/>
      <c r="AC62" s="486"/>
      <c r="AD62" s="486"/>
      <c r="AE62" s="486"/>
      <c r="AF62" s="485"/>
      <c r="AG62" s="486"/>
    </row>
    <row r="63" spans="1:33">
      <c r="A63" s="12" t="s">
        <v>84</v>
      </c>
      <c r="B63" s="137" t="s">
        <v>101</v>
      </c>
      <c r="C63" s="7"/>
      <c r="D63" s="10">
        <v>440402</v>
      </c>
      <c r="E63" s="101">
        <v>10</v>
      </c>
      <c r="F63" s="483">
        <f t="shared" si="0"/>
        <v>55631</v>
      </c>
      <c r="G63" s="484">
        <f t="shared" si="1"/>
        <v>55831</v>
      </c>
      <c r="H63" s="485">
        <v>29607</v>
      </c>
      <c r="I63" s="486">
        <v>29603</v>
      </c>
      <c r="J63" s="485">
        <v>5075</v>
      </c>
      <c r="K63" s="486">
        <v>4470</v>
      </c>
      <c r="L63" s="485">
        <v>20949</v>
      </c>
      <c r="M63" s="485">
        <v>0</v>
      </c>
      <c r="N63" s="485">
        <v>0</v>
      </c>
      <c r="O63" s="486">
        <v>21758</v>
      </c>
      <c r="P63" s="486">
        <v>0</v>
      </c>
      <c r="Q63" s="486">
        <v>0</v>
      </c>
      <c r="R63" s="485">
        <v>0</v>
      </c>
      <c r="S63" s="486">
        <v>0</v>
      </c>
      <c r="T63" s="483">
        <f t="shared" si="2"/>
        <v>0</v>
      </c>
      <c r="U63" s="484">
        <f t="shared" si="3"/>
        <v>0</v>
      </c>
      <c r="V63" s="485"/>
      <c r="W63" s="486"/>
      <c r="X63" s="485"/>
      <c r="Y63" s="486"/>
      <c r="Z63" s="485"/>
      <c r="AA63" s="485"/>
      <c r="AB63" s="485"/>
      <c r="AC63" s="486"/>
      <c r="AD63" s="486"/>
      <c r="AE63" s="486"/>
      <c r="AF63" s="485"/>
      <c r="AG63" s="486"/>
    </row>
    <row r="64" spans="1:33">
      <c r="A64" s="12" t="s">
        <v>84</v>
      </c>
      <c r="B64" s="137" t="s">
        <v>102</v>
      </c>
      <c r="C64" s="7"/>
      <c r="D64" s="10">
        <v>106625</v>
      </c>
      <c r="E64" s="101">
        <v>10</v>
      </c>
      <c r="F64" s="483">
        <f t="shared" si="0"/>
        <v>32148</v>
      </c>
      <c r="G64" s="484">
        <f t="shared" si="1"/>
        <v>36408</v>
      </c>
      <c r="H64" s="485">
        <v>18356</v>
      </c>
      <c r="I64" s="486">
        <v>17580</v>
      </c>
      <c r="J64" s="485">
        <v>2118</v>
      </c>
      <c r="K64" s="486">
        <v>7400</v>
      </c>
      <c r="L64" s="485">
        <v>10290</v>
      </c>
      <c r="M64" s="485">
        <v>1384</v>
      </c>
      <c r="N64" s="485">
        <v>0</v>
      </c>
      <c r="O64" s="486">
        <v>10401</v>
      </c>
      <c r="P64" s="486">
        <v>1027</v>
      </c>
      <c r="Q64" s="486">
        <v>0</v>
      </c>
      <c r="R64" s="485">
        <v>0</v>
      </c>
      <c r="S64" s="486">
        <v>0</v>
      </c>
      <c r="T64" s="483">
        <f t="shared" si="2"/>
        <v>0</v>
      </c>
      <c r="U64" s="484">
        <f t="shared" si="3"/>
        <v>0</v>
      </c>
      <c r="V64" s="485"/>
      <c r="W64" s="486"/>
      <c r="X64" s="485"/>
      <c r="Y64" s="486"/>
      <c r="Z64" s="485"/>
      <c r="AA64" s="485"/>
      <c r="AB64" s="485"/>
      <c r="AC64" s="486"/>
      <c r="AD64" s="486"/>
      <c r="AE64" s="486"/>
      <c r="AF64" s="485"/>
      <c r="AG64" s="486"/>
    </row>
    <row r="65" spans="1:33">
      <c r="A65" s="100" t="s">
        <v>84</v>
      </c>
      <c r="B65" s="137" t="s">
        <v>103</v>
      </c>
      <c r="C65" s="7" t="s">
        <v>951</v>
      </c>
      <c r="D65" s="10">
        <v>107521</v>
      </c>
      <c r="E65" s="101">
        <v>10</v>
      </c>
      <c r="F65" s="483">
        <f t="shared" si="0"/>
        <v>23499</v>
      </c>
      <c r="G65" s="484">
        <f t="shared" si="1"/>
        <v>22640</v>
      </c>
      <c r="H65" s="485">
        <v>18244</v>
      </c>
      <c r="I65" s="486">
        <v>16286</v>
      </c>
      <c r="J65" s="485">
        <v>1339</v>
      </c>
      <c r="K65" s="486">
        <v>3015</v>
      </c>
      <c r="L65" s="485">
        <v>3916</v>
      </c>
      <c r="M65" s="485">
        <v>0</v>
      </c>
      <c r="N65" s="485">
        <v>0</v>
      </c>
      <c r="O65" s="486">
        <v>3339</v>
      </c>
      <c r="P65" s="486">
        <v>0</v>
      </c>
      <c r="Q65" s="486">
        <v>0</v>
      </c>
      <c r="R65" s="485">
        <v>0</v>
      </c>
      <c r="S65" s="486">
        <v>0</v>
      </c>
      <c r="T65" s="483">
        <f t="shared" si="2"/>
        <v>0</v>
      </c>
      <c r="U65" s="484">
        <f t="shared" si="3"/>
        <v>0</v>
      </c>
      <c r="V65" s="485"/>
      <c r="W65" s="486"/>
      <c r="X65" s="485"/>
      <c r="Y65" s="486"/>
      <c r="Z65" s="485"/>
      <c r="AA65" s="485"/>
      <c r="AB65" s="485"/>
      <c r="AC65" s="486"/>
      <c r="AD65" s="486"/>
      <c r="AE65" s="486"/>
      <c r="AF65" s="485"/>
      <c r="AG65" s="486"/>
    </row>
    <row r="66" spans="1:33">
      <c r="A66" s="100" t="s">
        <v>84</v>
      </c>
      <c r="B66" s="137" t="s">
        <v>104</v>
      </c>
      <c r="C66" s="7"/>
      <c r="D66" s="10">
        <v>106795</v>
      </c>
      <c r="E66" s="101">
        <v>10</v>
      </c>
      <c r="F66" s="483">
        <f t="shared" si="0"/>
        <v>27395</v>
      </c>
      <c r="G66" s="484">
        <f t="shared" si="1"/>
        <v>27222</v>
      </c>
      <c r="H66" s="485">
        <v>6314</v>
      </c>
      <c r="I66" s="486">
        <v>6431</v>
      </c>
      <c r="J66" s="485">
        <v>10377</v>
      </c>
      <c r="K66" s="486">
        <v>9389</v>
      </c>
      <c r="L66" s="485">
        <v>7550</v>
      </c>
      <c r="M66" s="485">
        <v>3154</v>
      </c>
      <c r="N66" s="485">
        <v>0</v>
      </c>
      <c r="O66" s="486">
        <v>8488</v>
      </c>
      <c r="P66" s="486">
        <v>2914</v>
      </c>
      <c r="Q66" s="486">
        <v>0</v>
      </c>
      <c r="R66" s="485">
        <v>0</v>
      </c>
      <c r="S66" s="486">
        <v>0</v>
      </c>
      <c r="T66" s="483">
        <f t="shared" si="2"/>
        <v>0</v>
      </c>
      <c r="U66" s="484">
        <f t="shared" si="3"/>
        <v>0</v>
      </c>
      <c r="V66" s="485"/>
      <c r="W66" s="486"/>
      <c r="X66" s="485"/>
      <c r="Y66" s="486"/>
      <c r="Z66" s="485"/>
      <c r="AA66" s="485"/>
      <c r="AB66" s="485"/>
      <c r="AC66" s="486"/>
      <c r="AD66" s="486"/>
      <c r="AE66" s="486"/>
      <c r="AF66" s="485"/>
      <c r="AG66" s="486"/>
    </row>
    <row r="67" spans="1:33">
      <c r="A67" s="12" t="s">
        <v>84</v>
      </c>
      <c r="B67" s="137" t="s">
        <v>105</v>
      </c>
      <c r="C67" s="7"/>
      <c r="D67" s="10">
        <v>106883</v>
      </c>
      <c r="E67" s="101">
        <v>10</v>
      </c>
      <c r="F67" s="483">
        <f t="shared" si="0"/>
        <v>19473</v>
      </c>
      <c r="G67" s="484">
        <f t="shared" si="1"/>
        <v>19730</v>
      </c>
      <c r="H67" s="485">
        <v>9276</v>
      </c>
      <c r="I67" s="486">
        <v>8343</v>
      </c>
      <c r="J67" s="485">
        <v>3782</v>
      </c>
      <c r="K67" s="486">
        <v>4172</v>
      </c>
      <c r="L67" s="485">
        <v>6415</v>
      </c>
      <c r="M67" s="485">
        <v>0</v>
      </c>
      <c r="N67" s="485">
        <v>0</v>
      </c>
      <c r="O67" s="486">
        <v>7175</v>
      </c>
      <c r="P67" s="486">
        <v>0</v>
      </c>
      <c r="Q67" s="486">
        <v>0</v>
      </c>
      <c r="R67" s="485">
        <v>0</v>
      </c>
      <c r="S67" s="486">
        <v>40</v>
      </c>
      <c r="T67" s="483">
        <f t="shared" si="2"/>
        <v>0</v>
      </c>
      <c r="U67" s="484">
        <f t="shared" si="3"/>
        <v>0</v>
      </c>
      <c r="V67" s="485"/>
      <c r="W67" s="486"/>
      <c r="X67" s="485"/>
      <c r="Y67" s="486"/>
      <c r="Z67" s="485"/>
      <c r="AA67" s="485"/>
      <c r="AB67" s="485"/>
      <c r="AC67" s="486"/>
      <c r="AD67" s="486"/>
      <c r="AE67" s="486"/>
      <c r="AF67" s="485"/>
      <c r="AG67" s="486"/>
    </row>
    <row r="68" spans="1:33">
      <c r="A68" s="12" t="s">
        <v>84</v>
      </c>
      <c r="B68" s="9" t="s">
        <v>97</v>
      </c>
      <c r="C68" s="5"/>
      <c r="D68" s="11">
        <v>106980</v>
      </c>
      <c r="E68" s="101">
        <v>10</v>
      </c>
      <c r="F68" s="483">
        <f t="shared" si="0"/>
        <v>55130</v>
      </c>
      <c r="G68" s="484">
        <f t="shared" si="1"/>
        <v>55918</v>
      </c>
      <c r="H68" s="485">
        <v>44907</v>
      </c>
      <c r="I68" s="486">
        <v>49585</v>
      </c>
      <c r="J68" s="485">
        <v>4889</v>
      </c>
      <c r="K68" s="486">
        <v>5002</v>
      </c>
      <c r="L68" s="485">
        <v>5334</v>
      </c>
      <c r="M68" s="485">
        <v>0</v>
      </c>
      <c r="N68" s="485">
        <v>0</v>
      </c>
      <c r="O68" s="486">
        <v>0</v>
      </c>
      <c r="P68" s="486">
        <v>0</v>
      </c>
      <c r="Q68" s="486">
        <v>0</v>
      </c>
      <c r="R68" s="485">
        <v>0</v>
      </c>
      <c r="S68" s="486">
        <v>1331</v>
      </c>
      <c r="T68" s="483">
        <f t="shared" si="2"/>
        <v>0</v>
      </c>
      <c r="U68" s="484">
        <f t="shared" si="3"/>
        <v>0</v>
      </c>
      <c r="V68" s="485"/>
      <c r="W68" s="486"/>
      <c r="X68" s="485"/>
      <c r="Y68" s="486"/>
      <c r="Z68" s="485"/>
      <c r="AA68" s="485"/>
      <c r="AB68" s="485"/>
      <c r="AC68" s="486"/>
      <c r="AD68" s="486"/>
      <c r="AE68" s="486"/>
      <c r="AF68" s="485"/>
      <c r="AG68" s="486"/>
    </row>
    <row r="69" spans="1:33">
      <c r="A69" s="12" t="s">
        <v>84</v>
      </c>
      <c r="B69" s="137" t="s">
        <v>106</v>
      </c>
      <c r="C69" s="7"/>
      <c r="D69" s="10">
        <v>107460</v>
      </c>
      <c r="E69" s="101">
        <v>10</v>
      </c>
      <c r="F69" s="483">
        <f t="shared" si="0"/>
        <v>40175</v>
      </c>
      <c r="G69" s="484">
        <f t="shared" si="1"/>
        <v>40362</v>
      </c>
      <c r="H69" s="485">
        <v>29012</v>
      </c>
      <c r="I69" s="486">
        <v>27926</v>
      </c>
      <c r="J69" s="485">
        <v>1002</v>
      </c>
      <c r="K69" s="486">
        <v>1280</v>
      </c>
      <c r="L69" s="485">
        <v>10018</v>
      </c>
      <c r="M69" s="485">
        <v>143</v>
      </c>
      <c r="N69" s="485">
        <v>0</v>
      </c>
      <c r="O69" s="486">
        <v>11041</v>
      </c>
      <c r="P69" s="486">
        <v>112</v>
      </c>
      <c r="Q69" s="486">
        <v>0</v>
      </c>
      <c r="R69" s="485">
        <v>0</v>
      </c>
      <c r="S69" s="486">
        <v>3</v>
      </c>
      <c r="T69" s="483">
        <f t="shared" si="2"/>
        <v>0</v>
      </c>
      <c r="U69" s="484">
        <f t="shared" si="3"/>
        <v>0</v>
      </c>
      <c r="V69" s="485"/>
      <c r="W69" s="486"/>
      <c r="X69" s="485"/>
      <c r="Y69" s="486"/>
      <c r="Z69" s="485"/>
      <c r="AA69" s="485"/>
      <c r="AB69" s="485"/>
      <c r="AC69" s="486"/>
      <c r="AD69" s="486"/>
      <c r="AE69" s="486"/>
      <c r="AF69" s="485"/>
      <c r="AG69" s="486"/>
    </row>
    <row r="70" spans="1:33">
      <c r="A70" s="12" t="s">
        <v>84</v>
      </c>
      <c r="B70" s="137" t="s">
        <v>107</v>
      </c>
      <c r="C70" s="7"/>
      <c r="D70" s="10">
        <v>107549</v>
      </c>
      <c r="E70" s="101">
        <v>10</v>
      </c>
      <c r="F70" s="483">
        <f t="shared" si="0"/>
        <v>24123</v>
      </c>
      <c r="G70" s="484">
        <f t="shared" si="1"/>
        <v>23859</v>
      </c>
      <c r="H70" s="485">
        <v>11932</v>
      </c>
      <c r="I70" s="486">
        <v>12020</v>
      </c>
      <c r="J70" s="485">
        <v>1471</v>
      </c>
      <c r="K70" s="486">
        <v>1543</v>
      </c>
      <c r="L70" s="485">
        <v>10720</v>
      </c>
      <c r="M70" s="485">
        <v>0</v>
      </c>
      <c r="N70" s="485">
        <v>0</v>
      </c>
      <c r="O70" s="486">
        <v>10296</v>
      </c>
      <c r="P70" s="486">
        <v>0</v>
      </c>
      <c r="Q70" s="486">
        <v>0</v>
      </c>
      <c r="R70" s="485">
        <v>0</v>
      </c>
      <c r="S70" s="486">
        <v>0</v>
      </c>
      <c r="T70" s="483">
        <f t="shared" si="2"/>
        <v>0</v>
      </c>
      <c r="U70" s="484">
        <f t="shared" si="3"/>
        <v>0</v>
      </c>
      <c r="V70" s="485"/>
      <c r="W70" s="486"/>
      <c r="X70" s="485"/>
      <c r="Y70" s="486"/>
      <c r="Z70" s="485"/>
      <c r="AA70" s="485"/>
      <c r="AB70" s="485"/>
      <c r="AC70" s="486"/>
      <c r="AD70" s="486"/>
      <c r="AE70" s="486"/>
      <c r="AF70" s="485"/>
      <c r="AG70" s="486"/>
    </row>
    <row r="71" spans="1:33">
      <c r="A71" s="12" t="s">
        <v>84</v>
      </c>
      <c r="B71" s="137" t="s">
        <v>108</v>
      </c>
      <c r="C71" s="7"/>
      <c r="D71" s="10">
        <v>107619</v>
      </c>
      <c r="E71" s="101">
        <v>10</v>
      </c>
      <c r="F71" s="483">
        <f t="shared" ref="F71:F79" si="4">SUM(H71,J71,L71,M71,N71,R71)</f>
        <v>28486</v>
      </c>
      <c r="G71" s="484">
        <f t="shared" ref="G71:G79" si="5">SUM(I71,K71,O71,P71,Q71,S71)</f>
        <v>28154</v>
      </c>
      <c r="H71" s="485">
        <v>21184</v>
      </c>
      <c r="I71" s="486">
        <v>15284</v>
      </c>
      <c r="J71" s="485">
        <v>1447</v>
      </c>
      <c r="K71" s="486">
        <v>6786</v>
      </c>
      <c r="L71" s="485">
        <v>3375</v>
      </c>
      <c r="M71" s="485">
        <v>2480</v>
      </c>
      <c r="N71" s="485">
        <v>0</v>
      </c>
      <c r="O71" s="486">
        <v>3480</v>
      </c>
      <c r="P71" s="486">
        <v>2604</v>
      </c>
      <c r="Q71" s="486">
        <v>0</v>
      </c>
      <c r="R71" s="485">
        <v>0</v>
      </c>
      <c r="S71" s="486">
        <v>0</v>
      </c>
      <c r="T71" s="483">
        <f t="shared" ref="T71:T79" si="6">SUM(V71,X71,Z71,AA71,AB71,AF71)</f>
        <v>0</v>
      </c>
      <c r="U71" s="484">
        <f t="shared" ref="U71:U79" si="7">SUM(W71,Y71,AC71,AD71,AE71,AG71)</f>
        <v>0</v>
      </c>
      <c r="V71" s="485"/>
      <c r="W71" s="486"/>
      <c r="X71" s="485"/>
      <c r="Y71" s="486"/>
      <c r="Z71" s="485"/>
      <c r="AA71" s="485"/>
      <c r="AB71" s="485"/>
      <c r="AC71" s="486"/>
      <c r="AD71" s="486"/>
      <c r="AE71" s="486"/>
      <c r="AF71" s="485"/>
      <c r="AG71" s="486"/>
    </row>
    <row r="72" spans="1:33">
      <c r="A72" s="12" t="s">
        <v>84</v>
      </c>
      <c r="B72" s="137" t="s">
        <v>952</v>
      </c>
      <c r="C72" s="7"/>
      <c r="D72" s="10">
        <v>107743</v>
      </c>
      <c r="E72" s="101">
        <v>10</v>
      </c>
      <c r="F72" s="483">
        <f t="shared" si="4"/>
        <v>16253</v>
      </c>
      <c r="G72" s="484">
        <f t="shared" si="5"/>
        <v>16703</v>
      </c>
      <c r="H72" s="485">
        <v>10256</v>
      </c>
      <c r="I72" s="486">
        <v>10229</v>
      </c>
      <c r="J72" s="485">
        <v>2612</v>
      </c>
      <c r="K72" s="486">
        <v>2741</v>
      </c>
      <c r="L72" s="485">
        <v>3024</v>
      </c>
      <c r="M72" s="485">
        <v>361</v>
      </c>
      <c r="N72" s="485">
        <v>0</v>
      </c>
      <c r="O72" s="486">
        <v>3331</v>
      </c>
      <c r="P72" s="486">
        <v>402</v>
      </c>
      <c r="Q72" s="486">
        <v>0</v>
      </c>
      <c r="R72" s="485">
        <v>0</v>
      </c>
      <c r="S72" s="486">
        <v>0</v>
      </c>
      <c r="T72" s="483">
        <f t="shared" si="6"/>
        <v>0</v>
      </c>
      <c r="U72" s="484">
        <f t="shared" si="7"/>
        <v>0</v>
      </c>
      <c r="V72" s="485"/>
      <c r="W72" s="486"/>
      <c r="X72" s="485"/>
      <c r="Y72" s="486"/>
      <c r="Z72" s="485"/>
      <c r="AA72" s="485"/>
      <c r="AB72" s="485"/>
      <c r="AC72" s="486"/>
      <c r="AD72" s="486"/>
      <c r="AE72" s="486"/>
      <c r="AF72" s="485"/>
      <c r="AG72" s="486"/>
    </row>
    <row r="73" spans="1:33">
      <c r="A73" s="100" t="s">
        <v>84</v>
      </c>
      <c r="B73" s="137" t="s">
        <v>109</v>
      </c>
      <c r="C73" s="7"/>
      <c r="D73" s="10">
        <v>107974</v>
      </c>
      <c r="E73" s="101">
        <v>10</v>
      </c>
      <c r="F73" s="483">
        <f t="shared" si="4"/>
        <v>30749</v>
      </c>
      <c r="G73" s="484">
        <f t="shared" si="5"/>
        <v>31595</v>
      </c>
      <c r="H73" s="485">
        <v>17956</v>
      </c>
      <c r="I73" s="486">
        <v>16962</v>
      </c>
      <c r="J73" s="485">
        <v>3939</v>
      </c>
      <c r="K73" s="486">
        <v>4666</v>
      </c>
      <c r="L73" s="485">
        <v>8854</v>
      </c>
      <c r="M73" s="485">
        <v>0</v>
      </c>
      <c r="N73" s="485">
        <v>0</v>
      </c>
      <c r="O73" s="486">
        <v>9967</v>
      </c>
      <c r="P73" s="486">
        <v>0</v>
      </c>
      <c r="Q73" s="486">
        <v>0</v>
      </c>
      <c r="R73" s="485">
        <v>0</v>
      </c>
      <c r="S73" s="486">
        <v>0</v>
      </c>
      <c r="T73" s="483">
        <f t="shared" si="6"/>
        <v>0</v>
      </c>
      <c r="U73" s="484">
        <f t="shared" si="7"/>
        <v>0</v>
      </c>
      <c r="V73" s="485"/>
      <c r="W73" s="486"/>
      <c r="X73" s="485"/>
      <c r="Y73" s="486"/>
      <c r="Z73" s="485"/>
      <c r="AA73" s="485"/>
      <c r="AB73" s="485"/>
      <c r="AC73" s="486"/>
      <c r="AD73" s="486"/>
      <c r="AE73" s="486"/>
      <c r="AF73" s="485"/>
      <c r="AG73" s="486"/>
    </row>
    <row r="74" spans="1:33">
      <c r="A74" s="100" t="s">
        <v>84</v>
      </c>
      <c r="B74" s="137" t="s">
        <v>110</v>
      </c>
      <c r="C74" s="7"/>
      <c r="D74" s="10">
        <v>107637</v>
      </c>
      <c r="E74" s="101">
        <v>10</v>
      </c>
      <c r="F74" s="483">
        <f t="shared" si="4"/>
        <v>26773</v>
      </c>
      <c r="G74" s="484">
        <f t="shared" si="5"/>
        <v>25740</v>
      </c>
      <c r="H74" s="485">
        <v>21219</v>
      </c>
      <c r="I74" s="486">
        <v>20134</v>
      </c>
      <c r="J74" s="485">
        <v>940</v>
      </c>
      <c r="K74" s="486">
        <v>847</v>
      </c>
      <c r="L74" s="485">
        <v>4614</v>
      </c>
      <c r="M74" s="485">
        <v>0</v>
      </c>
      <c r="N74" s="485">
        <v>0</v>
      </c>
      <c r="O74" s="486">
        <v>4759</v>
      </c>
      <c r="P74" s="486">
        <v>0</v>
      </c>
      <c r="Q74" s="486">
        <v>0</v>
      </c>
      <c r="R74" s="485">
        <v>0</v>
      </c>
      <c r="S74" s="486">
        <v>0</v>
      </c>
      <c r="T74" s="483">
        <f t="shared" si="6"/>
        <v>0</v>
      </c>
      <c r="U74" s="484">
        <f t="shared" si="7"/>
        <v>0</v>
      </c>
      <c r="V74" s="485"/>
      <c r="W74" s="486"/>
      <c r="X74" s="485"/>
      <c r="Y74" s="486"/>
      <c r="Z74" s="485"/>
      <c r="AA74" s="485"/>
      <c r="AB74" s="485"/>
      <c r="AC74" s="486"/>
      <c r="AD74" s="486"/>
      <c r="AE74" s="486"/>
      <c r="AF74" s="485"/>
      <c r="AG74" s="486"/>
    </row>
    <row r="75" spans="1:33">
      <c r="A75" s="100" t="s">
        <v>84</v>
      </c>
      <c r="B75" s="137" t="s">
        <v>111</v>
      </c>
      <c r="C75" s="7"/>
      <c r="D75" s="10">
        <v>107992</v>
      </c>
      <c r="E75" s="101">
        <v>10</v>
      </c>
      <c r="F75" s="483">
        <f t="shared" si="4"/>
        <v>26545</v>
      </c>
      <c r="G75" s="484">
        <f t="shared" si="5"/>
        <v>31226</v>
      </c>
      <c r="H75" s="485">
        <v>12295</v>
      </c>
      <c r="I75" s="486">
        <v>12347</v>
      </c>
      <c r="J75" s="485">
        <v>8706</v>
      </c>
      <c r="K75" s="486">
        <v>12807</v>
      </c>
      <c r="L75" s="485">
        <v>5544</v>
      </c>
      <c r="M75" s="485">
        <v>0</v>
      </c>
      <c r="N75" s="485">
        <v>0</v>
      </c>
      <c r="O75" s="486">
        <v>6072</v>
      </c>
      <c r="P75" s="486">
        <v>0</v>
      </c>
      <c r="Q75" s="486">
        <v>0</v>
      </c>
      <c r="R75" s="485">
        <v>0</v>
      </c>
      <c r="S75" s="486">
        <v>0</v>
      </c>
      <c r="T75" s="483">
        <f t="shared" si="6"/>
        <v>0</v>
      </c>
      <c r="U75" s="484">
        <f t="shared" si="7"/>
        <v>0</v>
      </c>
      <c r="V75" s="485"/>
      <c r="W75" s="486"/>
      <c r="X75" s="485"/>
      <c r="Y75" s="486"/>
      <c r="Z75" s="485"/>
      <c r="AA75" s="485"/>
      <c r="AB75" s="485"/>
      <c r="AC75" s="486"/>
      <c r="AD75" s="486"/>
      <c r="AE75" s="486"/>
      <c r="AF75" s="485"/>
      <c r="AG75" s="486"/>
    </row>
    <row r="76" spans="1:33">
      <c r="A76" s="12" t="s">
        <v>84</v>
      </c>
      <c r="B76" s="137" t="s">
        <v>112</v>
      </c>
      <c r="C76" s="7"/>
      <c r="D76" s="10">
        <v>106999</v>
      </c>
      <c r="E76" s="101">
        <v>10</v>
      </c>
      <c r="F76" s="483">
        <f t="shared" si="4"/>
        <v>26243</v>
      </c>
      <c r="G76" s="484">
        <f t="shared" si="5"/>
        <v>26664</v>
      </c>
      <c r="H76" s="485">
        <v>17150</v>
      </c>
      <c r="I76" s="486">
        <v>17420</v>
      </c>
      <c r="J76" s="485">
        <v>1336</v>
      </c>
      <c r="K76" s="486">
        <v>1229</v>
      </c>
      <c r="L76" s="485">
        <v>7757</v>
      </c>
      <c r="M76" s="485">
        <v>0</v>
      </c>
      <c r="N76" s="485">
        <v>0</v>
      </c>
      <c r="O76" s="486">
        <v>8015</v>
      </c>
      <c r="P76" s="486">
        <v>0</v>
      </c>
      <c r="Q76" s="486">
        <v>0</v>
      </c>
      <c r="R76" s="485">
        <v>0</v>
      </c>
      <c r="S76" s="486">
        <v>0</v>
      </c>
      <c r="T76" s="483">
        <f t="shared" si="6"/>
        <v>0</v>
      </c>
      <c r="U76" s="484">
        <f t="shared" si="7"/>
        <v>0</v>
      </c>
      <c r="V76" s="485"/>
      <c r="W76" s="486"/>
      <c r="X76" s="485"/>
      <c r="Y76" s="486"/>
      <c r="Z76" s="485"/>
      <c r="AA76" s="485"/>
      <c r="AB76" s="485"/>
      <c r="AC76" s="486"/>
      <c r="AD76" s="486"/>
      <c r="AE76" s="486"/>
      <c r="AF76" s="485"/>
      <c r="AG76" s="486"/>
    </row>
    <row r="77" spans="1:33">
      <c r="A77" s="100" t="s">
        <v>84</v>
      </c>
      <c r="B77" s="137" t="s">
        <v>113</v>
      </c>
      <c r="C77" s="7"/>
      <c r="D77" s="10">
        <v>107725</v>
      </c>
      <c r="E77" s="101">
        <v>10</v>
      </c>
      <c r="F77" s="483">
        <f t="shared" si="4"/>
        <v>31184</v>
      </c>
      <c r="G77" s="484">
        <f t="shared" si="5"/>
        <v>31513</v>
      </c>
      <c r="H77" s="485">
        <v>14720</v>
      </c>
      <c r="I77" s="486">
        <v>14298</v>
      </c>
      <c r="J77" s="485">
        <v>9004</v>
      </c>
      <c r="K77" s="486">
        <v>8659</v>
      </c>
      <c r="L77" s="485">
        <v>5451</v>
      </c>
      <c r="M77" s="485">
        <v>2009</v>
      </c>
      <c r="N77" s="485">
        <v>0</v>
      </c>
      <c r="O77" s="486">
        <v>5789</v>
      </c>
      <c r="P77" s="486">
        <v>2767</v>
      </c>
      <c r="Q77" s="486">
        <v>0</v>
      </c>
      <c r="R77" s="485">
        <v>0</v>
      </c>
      <c r="S77" s="486">
        <v>0</v>
      </c>
      <c r="T77" s="483">
        <f t="shared" si="6"/>
        <v>0</v>
      </c>
      <c r="U77" s="484">
        <f t="shared" si="7"/>
        <v>0</v>
      </c>
      <c r="V77" s="485"/>
      <c r="W77" s="486"/>
      <c r="X77" s="485"/>
      <c r="Y77" s="486"/>
      <c r="Z77" s="485"/>
      <c r="AA77" s="485"/>
      <c r="AB77" s="485"/>
      <c r="AC77" s="486"/>
      <c r="AD77" s="486"/>
      <c r="AE77" s="486"/>
      <c r="AF77" s="485"/>
      <c r="AG77" s="486"/>
    </row>
    <row r="78" spans="1:33">
      <c r="A78" s="12" t="s">
        <v>84</v>
      </c>
      <c r="B78" s="137" t="s">
        <v>114</v>
      </c>
      <c r="C78" s="7"/>
      <c r="D78" s="10">
        <v>107585</v>
      </c>
      <c r="E78" s="101">
        <v>10</v>
      </c>
      <c r="F78" s="483">
        <f t="shared" si="4"/>
        <v>44851</v>
      </c>
      <c r="G78" s="484">
        <f t="shared" si="5"/>
        <v>43685</v>
      </c>
      <c r="H78" s="485">
        <v>38993</v>
      </c>
      <c r="I78" s="486">
        <v>37959</v>
      </c>
      <c r="J78" s="485">
        <v>0</v>
      </c>
      <c r="K78" s="486">
        <v>0</v>
      </c>
      <c r="L78" s="485">
        <v>5858</v>
      </c>
      <c r="M78" s="485">
        <v>0</v>
      </c>
      <c r="N78" s="485">
        <v>0</v>
      </c>
      <c r="O78" s="486">
        <v>5726</v>
      </c>
      <c r="P78" s="486">
        <v>0</v>
      </c>
      <c r="Q78" s="486">
        <v>0</v>
      </c>
      <c r="R78" s="485">
        <v>0</v>
      </c>
      <c r="S78" s="486">
        <v>0</v>
      </c>
      <c r="T78" s="483">
        <f t="shared" si="6"/>
        <v>0</v>
      </c>
      <c r="U78" s="484">
        <f t="shared" si="7"/>
        <v>0</v>
      </c>
      <c r="V78" s="485"/>
      <c r="W78" s="486"/>
      <c r="X78" s="485"/>
      <c r="Y78" s="486"/>
      <c r="Z78" s="485"/>
      <c r="AA78" s="485"/>
      <c r="AB78" s="485"/>
      <c r="AC78" s="486"/>
      <c r="AD78" s="486"/>
      <c r="AE78" s="486"/>
      <c r="AF78" s="485"/>
      <c r="AG78" s="486"/>
    </row>
    <row r="79" spans="1:33">
      <c r="A79" s="12" t="s">
        <v>84</v>
      </c>
      <c r="B79" s="137" t="s">
        <v>115</v>
      </c>
      <c r="C79" s="7"/>
      <c r="D79" s="11">
        <v>106263</v>
      </c>
      <c r="E79" s="138">
        <v>15</v>
      </c>
      <c r="F79" s="483">
        <f t="shared" si="4"/>
        <v>18081</v>
      </c>
      <c r="G79" s="484">
        <f t="shared" si="5"/>
        <v>17308</v>
      </c>
      <c r="H79" s="485">
        <v>12214</v>
      </c>
      <c r="I79" s="486">
        <v>11248</v>
      </c>
      <c r="J79" s="485">
        <v>595</v>
      </c>
      <c r="K79" s="486">
        <v>782</v>
      </c>
      <c r="L79" s="485">
        <v>4133</v>
      </c>
      <c r="M79" s="485">
        <v>1139</v>
      </c>
      <c r="N79" s="485">
        <v>0</v>
      </c>
      <c r="O79" s="486">
        <v>4138</v>
      </c>
      <c r="P79" s="486">
        <v>1140</v>
      </c>
      <c r="Q79" s="486">
        <v>0</v>
      </c>
      <c r="R79" s="485">
        <v>0</v>
      </c>
      <c r="S79" s="486">
        <v>0</v>
      </c>
      <c r="T79" s="483">
        <f t="shared" si="6"/>
        <v>0</v>
      </c>
      <c r="U79" s="484">
        <f t="shared" si="7"/>
        <v>0</v>
      </c>
      <c r="V79" s="485"/>
      <c r="W79" s="486"/>
      <c r="X79" s="485"/>
      <c r="Y79" s="486"/>
      <c r="Z79" s="485"/>
      <c r="AA79" s="485"/>
      <c r="AB79" s="485"/>
      <c r="AC79" s="486"/>
      <c r="AD79" s="486"/>
      <c r="AE79" s="486"/>
      <c r="AF79" s="485"/>
      <c r="AG79" s="486">
        <v>0</v>
      </c>
    </row>
    <row r="80" spans="1:33" s="28" customFormat="1" ht="13.5" customHeight="1">
      <c r="A80" s="3" t="s">
        <v>116</v>
      </c>
      <c r="B80" s="2" t="s">
        <v>117</v>
      </c>
      <c r="C80" s="1"/>
      <c r="D80" s="66">
        <v>130943</v>
      </c>
      <c r="E80" s="66">
        <v>1</v>
      </c>
      <c r="F80" s="483">
        <f>SUM(H80,J80,L80,M80,N80,R80)</f>
        <v>583850</v>
      </c>
      <c r="G80" s="484">
        <f>SUM(I80,K80,O80,P80,Q80,S80)</f>
        <v>593876</v>
      </c>
      <c r="H80" s="485">
        <v>562826</v>
      </c>
      <c r="I80" s="486">
        <v>570897</v>
      </c>
      <c r="J80" s="485"/>
      <c r="K80" s="486"/>
      <c r="L80" s="485">
        <v>21024</v>
      </c>
      <c r="M80" s="485">
        <v>0</v>
      </c>
      <c r="N80" s="485">
        <v>0</v>
      </c>
      <c r="O80" s="486">
        <v>22979</v>
      </c>
      <c r="P80" s="486">
        <v>0</v>
      </c>
      <c r="Q80" s="486">
        <v>0</v>
      </c>
      <c r="R80" s="485"/>
      <c r="S80" s="486"/>
      <c r="T80" s="483">
        <f>SUM(V80,X80,Z80,AA80,AB80,AF80)</f>
        <v>64419</v>
      </c>
      <c r="U80" s="484">
        <f>SUM(W80,Y80,AC80,AD80,AE80,AG80)</f>
        <v>73413</v>
      </c>
      <c r="V80" s="485">
        <v>56776</v>
      </c>
      <c r="W80" s="486">
        <v>63260</v>
      </c>
      <c r="X80" s="485">
        <v>0</v>
      </c>
      <c r="Y80" s="486"/>
      <c r="Z80" s="485">
        <v>7643</v>
      </c>
      <c r="AA80" s="485">
        <v>0</v>
      </c>
      <c r="AB80" s="485">
        <v>0</v>
      </c>
      <c r="AC80" s="486">
        <v>10153</v>
      </c>
      <c r="AD80" s="486">
        <v>0</v>
      </c>
      <c r="AE80" s="486">
        <v>0</v>
      </c>
      <c r="AF80" s="485"/>
      <c r="AG80" s="486"/>
    </row>
    <row r="81" spans="1:33">
      <c r="A81" s="67" t="s">
        <v>116</v>
      </c>
      <c r="B81" s="2" t="s">
        <v>118</v>
      </c>
      <c r="C81" s="68"/>
      <c r="D81" s="66">
        <v>130934</v>
      </c>
      <c r="E81" s="66">
        <v>3</v>
      </c>
      <c r="F81" s="483">
        <f>SUM(H81,J81,L81,M81,N81,R81)</f>
        <v>123316</v>
      </c>
      <c r="G81" s="484">
        <f>SUM(I81,K81,O81,P81,Q81,S81)</f>
        <v>136454</v>
      </c>
      <c r="H81" s="485">
        <v>116563</v>
      </c>
      <c r="I81" s="486">
        <v>125999</v>
      </c>
      <c r="J81" s="485"/>
      <c r="K81" s="486"/>
      <c r="L81" s="485">
        <v>6753</v>
      </c>
      <c r="M81" s="485">
        <v>0</v>
      </c>
      <c r="N81" s="485">
        <v>0</v>
      </c>
      <c r="O81" s="486">
        <v>10455</v>
      </c>
      <c r="P81" s="486">
        <v>0</v>
      </c>
      <c r="Q81" s="486">
        <v>0</v>
      </c>
      <c r="R81" s="485"/>
      <c r="S81" s="486"/>
      <c r="T81" s="483">
        <f>SUM(V81,X81,Z81,AA81,AB81,AF81)</f>
        <v>5600</v>
      </c>
      <c r="U81" s="484">
        <f>SUM(W81,Y81,AC81,AD81,AE81,AG81)</f>
        <v>7965</v>
      </c>
      <c r="V81" s="485">
        <v>4883</v>
      </c>
      <c r="W81" s="486">
        <v>6534</v>
      </c>
      <c r="X81" s="485">
        <v>0</v>
      </c>
      <c r="Y81" s="486"/>
      <c r="Z81" s="485">
        <v>717</v>
      </c>
      <c r="AA81" s="485">
        <v>0</v>
      </c>
      <c r="AB81" s="485">
        <v>0</v>
      </c>
      <c r="AC81" s="486">
        <v>1431</v>
      </c>
      <c r="AD81" s="486">
        <v>0</v>
      </c>
      <c r="AE81" s="486">
        <v>0</v>
      </c>
      <c r="AF81" s="485"/>
      <c r="AG81" s="486"/>
    </row>
    <row r="82" spans="1:33">
      <c r="A82" s="67" t="s">
        <v>116</v>
      </c>
      <c r="B82" s="69" t="s">
        <v>119</v>
      </c>
      <c r="C82" s="490" t="s">
        <v>953</v>
      </c>
      <c r="D82" s="66">
        <v>130907</v>
      </c>
      <c r="E82" s="66">
        <v>9</v>
      </c>
      <c r="F82" s="483">
        <f>SUM(H82,J82,L82,M82,N82,R82)</f>
        <v>268781</v>
      </c>
      <c r="G82" s="484">
        <f>SUM(I82,K82,O82,P82,Q82,S82)</f>
        <v>270379</v>
      </c>
      <c r="H82" s="485">
        <v>224315</v>
      </c>
      <c r="I82" s="486">
        <v>217348</v>
      </c>
      <c r="J82" s="485"/>
      <c r="K82" s="486"/>
      <c r="L82" s="485">
        <v>43060</v>
      </c>
      <c r="M82" s="485">
        <v>877</v>
      </c>
      <c r="N82" s="485">
        <v>529</v>
      </c>
      <c r="O82" s="486">
        <v>51446</v>
      </c>
      <c r="P82" s="486">
        <v>1028</v>
      </c>
      <c r="Q82" s="486">
        <v>557</v>
      </c>
      <c r="R82" s="485"/>
      <c r="S82" s="486"/>
      <c r="T82" s="483">
        <f>SUM(V82,X82,Z82,AA82,AB82,AF82)</f>
        <v>0</v>
      </c>
      <c r="U82" s="484">
        <f>SUM(W82,Y82,AC82,AD82,AE82,AG82)</f>
        <v>0</v>
      </c>
      <c r="V82" s="485"/>
      <c r="W82" s="486"/>
      <c r="X82" s="485"/>
      <c r="Y82" s="486"/>
      <c r="Z82" s="485"/>
      <c r="AA82" s="485"/>
      <c r="AB82" s="485"/>
      <c r="AC82" s="486"/>
      <c r="AD82" s="486"/>
      <c r="AE82" s="486"/>
      <c r="AF82" s="485"/>
      <c r="AG82" s="486"/>
    </row>
    <row r="83" spans="1:33" ht="13.5" thickBot="1">
      <c r="A83" s="117" t="s">
        <v>120</v>
      </c>
      <c r="B83" s="72"/>
      <c r="C83" s="73"/>
      <c r="D83" s="74"/>
      <c r="E83" s="74"/>
      <c r="F83" s="483"/>
      <c r="G83" s="484"/>
      <c r="H83" s="485"/>
      <c r="I83" s="486"/>
      <c r="J83" s="485"/>
      <c r="K83" s="486"/>
      <c r="L83" s="485"/>
      <c r="M83" s="485"/>
      <c r="N83" s="485"/>
      <c r="O83" s="486"/>
      <c r="P83" s="486"/>
      <c r="Q83" s="486"/>
      <c r="R83" s="485"/>
      <c r="S83" s="486"/>
      <c r="T83" s="483"/>
      <c r="U83" s="484"/>
      <c r="V83" s="485"/>
      <c r="W83" s="486"/>
      <c r="X83" s="485"/>
      <c r="Y83" s="486"/>
      <c r="Z83" s="485"/>
      <c r="AA83" s="485"/>
      <c r="AB83" s="485"/>
      <c r="AC83" s="486"/>
      <c r="AD83" s="486"/>
      <c r="AE83" s="486"/>
      <c r="AF83" s="485"/>
      <c r="AG83" s="486"/>
    </row>
    <row r="84" spans="1:33" s="28" customFormat="1" ht="13.5" customHeight="1">
      <c r="A84" s="75" t="s">
        <v>120</v>
      </c>
      <c r="B84" s="76" t="s">
        <v>121</v>
      </c>
      <c r="C84" s="80"/>
      <c r="D84" s="78">
        <v>132693</v>
      </c>
      <c r="E84" s="83">
        <v>7</v>
      </c>
      <c r="F84" s="483">
        <f t="shared" ref="F84:F147" si="8">SUM(H84,J84,L84,M84,N84,R84)</f>
        <v>310404</v>
      </c>
      <c r="G84" s="484">
        <f t="shared" ref="G84:G147" si="9">SUM(I84,K84,O84,P84,Q84,S84)</f>
        <v>315350</v>
      </c>
      <c r="H84" s="485">
        <v>211033</v>
      </c>
      <c r="I84" s="491">
        <v>205277</v>
      </c>
      <c r="J84" s="485">
        <v>7289</v>
      </c>
      <c r="K84" s="491">
        <v>6589</v>
      </c>
      <c r="L84" s="485">
        <v>92082</v>
      </c>
      <c r="M84" s="485">
        <v>0</v>
      </c>
      <c r="N84" s="485">
        <v>0</v>
      </c>
      <c r="O84" s="491">
        <v>103484</v>
      </c>
      <c r="P84" s="491">
        <v>0</v>
      </c>
      <c r="Q84" s="491">
        <v>0</v>
      </c>
      <c r="R84" s="485">
        <v>0</v>
      </c>
      <c r="S84" s="491">
        <v>0</v>
      </c>
      <c r="T84" s="483">
        <f t="shared" ref="T84:T147" si="10">SUM(V84,X84,Z84,AA84,AB84,AF84)</f>
        <v>0</v>
      </c>
      <c r="U84" s="484">
        <f t="shared" ref="U84:U147" si="11">SUM(W84,Y84,AC84,AD84,AE84,AG84)</f>
        <v>0</v>
      </c>
      <c r="V84" s="485"/>
      <c r="W84" s="486"/>
      <c r="X84" s="485"/>
      <c r="Y84" s="486"/>
      <c r="Z84" s="485"/>
      <c r="AA84" s="485"/>
      <c r="AB84" s="485"/>
      <c r="AC84" s="486"/>
      <c r="AD84" s="486"/>
      <c r="AE84" s="486"/>
      <c r="AF84" s="485"/>
      <c r="AG84" s="486"/>
    </row>
    <row r="85" spans="1:33">
      <c r="A85" s="75" t="s">
        <v>120</v>
      </c>
      <c r="B85" s="76" t="s">
        <v>122</v>
      </c>
      <c r="C85" s="79"/>
      <c r="D85" s="78">
        <v>132709</v>
      </c>
      <c r="E85" s="83">
        <v>7</v>
      </c>
      <c r="F85" s="483">
        <f t="shared" si="8"/>
        <v>858119</v>
      </c>
      <c r="G85" s="484">
        <f t="shared" si="9"/>
        <v>846913</v>
      </c>
      <c r="H85" s="485">
        <v>642297</v>
      </c>
      <c r="I85" s="492">
        <v>628544</v>
      </c>
      <c r="J85" s="485">
        <v>52103</v>
      </c>
      <c r="K85" s="492">
        <v>42184</v>
      </c>
      <c r="L85" s="485">
        <v>162309</v>
      </c>
      <c r="M85" s="485">
        <v>0</v>
      </c>
      <c r="N85" s="485">
        <v>1410</v>
      </c>
      <c r="O85" s="492">
        <v>175372</v>
      </c>
      <c r="P85" s="492">
        <v>0</v>
      </c>
      <c r="Q85" s="492">
        <v>813</v>
      </c>
      <c r="R85" s="485">
        <v>0</v>
      </c>
      <c r="S85" s="492">
        <v>0</v>
      </c>
      <c r="T85" s="483">
        <f t="shared" si="10"/>
        <v>0</v>
      </c>
      <c r="U85" s="484">
        <f t="shared" si="11"/>
        <v>0</v>
      </c>
      <c r="V85" s="485"/>
      <c r="W85" s="486"/>
      <c r="X85" s="485"/>
      <c r="Y85" s="486"/>
      <c r="Z85" s="485"/>
      <c r="AA85" s="485"/>
      <c r="AB85" s="485"/>
      <c r="AC85" s="486"/>
      <c r="AD85" s="486"/>
      <c r="AE85" s="486"/>
      <c r="AF85" s="485"/>
      <c r="AG85" s="486"/>
    </row>
    <row r="86" spans="1:33">
      <c r="A86" s="75" t="s">
        <v>120</v>
      </c>
      <c r="B86" s="76" t="s">
        <v>123</v>
      </c>
      <c r="C86" s="80"/>
      <c r="D86" s="78">
        <v>132851</v>
      </c>
      <c r="E86" s="83">
        <v>7</v>
      </c>
      <c r="F86" s="483">
        <f t="shared" si="8"/>
        <v>148142</v>
      </c>
      <c r="G86" s="484">
        <f t="shared" si="9"/>
        <v>150116</v>
      </c>
      <c r="H86" s="485">
        <v>97491</v>
      </c>
      <c r="I86" s="492">
        <v>97908</v>
      </c>
      <c r="J86" s="485">
        <v>0</v>
      </c>
      <c r="K86" s="492">
        <v>0</v>
      </c>
      <c r="L86" s="485">
        <v>50650</v>
      </c>
      <c r="M86" s="485">
        <v>1</v>
      </c>
      <c r="N86" s="485">
        <v>0</v>
      </c>
      <c r="O86" s="492">
        <v>52208</v>
      </c>
      <c r="P86" s="492">
        <v>0</v>
      </c>
      <c r="Q86" s="492">
        <v>0</v>
      </c>
      <c r="R86" s="485">
        <v>0</v>
      </c>
      <c r="S86" s="492">
        <v>0</v>
      </c>
      <c r="T86" s="483">
        <f t="shared" si="10"/>
        <v>0</v>
      </c>
      <c r="U86" s="484">
        <f t="shared" si="11"/>
        <v>0</v>
      </c>
      <c r="V86" s="485"/>
      <c r="W86" s="486"/>
      <c r="X86" s="485"/>
      <c r="Y86" s="486"/>
      <c r="Z86" s="485"/>
      <c r="AA86" s="485"/>
      <c r="AB86" s="485"/>
      <c r="AC86" s="486"/>
      <c r="AD86" s="486"/>
      <c r="AE86" s="486"/>
      <c r="AF86" s="485"/>
      <c r="AG86" s="486"/>
    </row>
    <row r="87" spans="1:33">
      <c r="A87" s="75" t="s">
        <v>120</v>
      </c>
      <c r="B87" s="76" t="s">
        <v>124</v>
      </c>
      <c r="C87" s="77"/>
      <c r="D87" s="78">
        <v>133021</v>
      </c>
      <c r="E87" s="83">
        <v>7</v>
      </c>
      <c r="F87" s="483">
        <f t="shared" si="8"/>
        <v>40003</v>
      </c>
      <c r="G87" s="484">
        <f t="shared" si="9"/>
        <v>40355</v>
      </c>
      <c r="H87" s="485">
        <v>29394</v>
      </c>
      <c r="I87" s="492">
        <v>27813</v>
      </c>
      <c r="J87" s="485">
        <v>1476</v>
      </c>
      <c r="K87" s="492">
        <v>2066</v>
      </c>
      <c r="L87" s="485">
        <v>9133</v>
      </c>
      <c r="M87" s="485">
        <v>0</v>
      </c>
      <c r="N87" s="485">
        <v>0</v>
      </c>
      <c r="O87" s="492">
        <v>10476</v>
      </c>
      <c r="P87" s="492">
        <v>0</v>
      </c>
      <c r="Q87" s="492">
        <v>0</v>
      </c>
      <c r="R87" s="485">
        <v>0</v>
      </c>
      <c r="S87" s="492">
        <v>0</v>
      </c>
      <c r="T87" s="483">
        <f t="shared" si="10"/>
        <v>0</v>
      </c>
      <c r="U87" s="484">
        <f t="shared" si="11"/>
        <v>0</v>
      </c>
      <c r="V87" s="485"/>
      <c r="W87" s="486"/>
      <c r="X87" s="485"/>
      <c r="Y87" s="486"/>
      <c r="Z87" s="485"/>
      <c r="AA87" s="485"/>
      <c r="AB87" s="485"/>
      <c r="AC87" s="486"/>
      <c r="AD87" s="486"/>
      <c r="AE87" s="486"/>
      <c r="AF87" s="485"/>
      <c r="AG87" s="486"/>
    </row>
    <row r="88" spans="1:33">
      <c r="A88" s="75" t="s">
        <v>120</v>
      </c>
      <c r="B88" s="76" t="s">
        <v>125</v>
      </c>
      <c r="C88" s="77"/>
      <c r="D88" s="78">
        <v>133386</v>
      </c>
      <c r="E88" s="83">
        <v>7</v>
      </c>
      <c r="F88" s="483">
        <f t="shared" si="8"/>
        <v>293464</v>
      </c>
      <c r="G88" s="484">
        <f t="shared" si="9"/>
        <v>282410</v>
      </c>
      <c r="H88" s="485">
        <v>165740</v>
      </c>
      <c r="I88" s="492">
        <v>148942</v>
      </c>
      <c r="J88" s="485">
        <v>6808</v>
      </c>
      <c r="K88" s="492">
        <v>7614</v>
      </c>
      <c r="L88" s="485">
        <v>120916</v>
      </c>
      <c r="M88" s="485">
        <v>0</v>
      </c>
      <c r="N88" s="485">
        <v>0</v>
      </c>
      <c r="O88" s="492">
        <v>125854</v>
      </c>
      <c r="P88" s="492">
        <v>0</v>
      </c>
      <c r="Q88" s="492">
        <v>0</v>
      </c>
      <c r="R88" s="485">
        <v>0</v>
      </c>
      <c r="S88" s="492">
        <v>0</v>
      </c>
      <c r="T88" s="483">
        <f t="shared" si="10"/>
        <v>0</v>
      </c>
      <c r="U88" s="484">
        <f t="shared" si="11"/>
        <v>0</v>
      </c>
      <c r="V88" s="485"/>
      <c r="W88" s="486"/>
      <c r="X88" s="485"/>
      <c r="Y88" s="486"/>
      <c r="Z88" s="485"/>
      <c r="AA88" s="485"/>
      <c r="AB88" s="485"/>
      <c r="AC88" s="486"/>
      <c r="AD88" s="486"/>
      <c r="AE88" s="486"/>
      <c r="AF88" s="485"/>
      <c r="AG88" s="486"/>
    </row>
    <row r="89" spans="1:33">
      <c r="A89" s="75" t="s">
        <v>120</v>
      </c>
      <c r="B89" s="76" t="s">
        <v>126</v>
      </c>
      <c r="C89" s="77"/>
      <c r="D89" s="78">
        <v>133508</v>
      </c>
      <c r="E89" s="83">
        <v>7</v>
      </c>
      <c r="F89" s="483">
        <f t="shared" si="8"/>
        <v>326619</v>
      </c>
      <c r="G89" s="484">
        <f t="shared" si="9"/>
        <v>334341</v>
      </c>
      <c r="H89" s="485">
        <v>231393</v>
      </c>
      <c r="I89" s="492">
        <v>233717</v>
      </c>
      <c r="J89" s="485">
        <v>15256</v>
      </c>
      <c r="K89" s="492">
        <v>15731</v>
      </c>
      <c r="L89" s="485">
        <v>78670</v>
      </c>
      <c r="M89" s="485">
        <v>0</v>
      </c>
      <c r="N89" s="485">
        <v>0</v>
      </c>
      <c r="O89" s="492">
        <v>83469</v>
      </c>
      <c r="P89" s="492">
        <v>0</v>
      </c>
      <c r="Q89" s="492">
        <v>0</v>
      </c>
      <c r="R89" s="485">
        <v>1300</v>
      </c>
      <c r="S89" s="492">
        <v>1424</v>
      </c>
      <c r="T89" s="483">
        <f t="shared" si="10"/>
        <v>0</v>
      </c>
      <c r="U89" s="484">
        <f t="shared" si="11"/>
        <v>0</v>
      </c>
      <c r="V89" s="485"/>
      <c r="W89" s="486"/>
      <c r="X89" s="485"/>
      <c r="Y89" s="486"/>
      <c r="Z89" s="485"/>
      <c r="AA89" s="485"/>
      <c r="AB89" s="485"/>
      <c r="AC89" s="486"/>
      <c r="AD89" s="486"/>
      <c r="AE89" s="486"/>
      <c r="AF89" s="485"/>
      <c r="AG89" s="486"/>
    </row>
    <row r="90" spans="1:33">
      <c r="A90" s="75" t="s">
        <v>120</v>
      </c>
      <c r="B90" s="76" t="s">
        <v>127</v>
      </c>
      <c r="C90" s="81"/>
      <c r="D90" s="78">
        <v>133702</v>
      </c>
      <c r="E90" s="83">
        <v>7</v>
      </c>
      <c r="F90" s="483">
        <f t="shared" si="8"/>
        <v>486161</v>
      </c>
      <c r="G90" s="484">
        <f t="shared" si="9"/>
        <v>405061</v>
      </c>
      <c r="H90" s="485">
        <v>273661</v>
      </c>
      <c r="I90" s="492">
        <v>227688</v>
      </c>
      <c r="J90" s="485">
        <v>14840</v>
      </c>
      <c r="K90" s="492">
        <v>14233</v>
      </c>
      <c r="L90" s="485">
        <v>197660</v>
      </c>
      <c r="M90" s="485">
        <v>0</v>
      </c>
      <c r="N90" s="485">
        <v>0</v>
      </c>
      <c r="O90" s="492">
        <v>163140</v>
      </c>
      <c r="P90" s="492">
        <v>0</v>
      </c>
      <c r="Q90" s="492">
        <v>0</v>
      </c>
      <c r="R90" s="485">
        <v>0</v>
      </c>
      <c r="S90" s="492">
        <v>0</v>
      </c>
      <c r="T90" s="483">
        <f t="shared" si="10"/>
        <v>0</v>
      </c>
      <c r="U90" s="484">
        <f t="shared" si="11"/>
        <v>0</v>
      </c>
      <c r="V90" s="485"/>
      <c r="W90" s="486"/>
      <c r="X90" s="485"/>
      <c r="Y90" s="486"/>
      <c r="Z90" s="485"/>
      <c r="AA90" s="485"/>
      <c r="AB90" s="485"/>
      <c r="AC90" s="486"/>
      <c r="AD90" s="486"/>
      <c r="AE90" s="486"/>
      <c r="AF90" s="485"/>
      <c r="AG90" s="486"/>
    </row>
    <row r="91" spans="1:33">
      <c r="A91" s="75" t="s">
        <v>120</v>
      </c>
      <c r="B91" s="76" t="s">
        <v>128</v>
      </c>
      <c r="C91" s="77" t="s">
        <v>954</v>
      </c>
      <c r="D91" s="78">
        <v>133960</v>
      </c>
      <c r="E91" s="83">
        <v>10</v>
      </c>
      <c r="F91" s="483">
        <f t="shared" si="8"/>
        <v>20126</v>
      </c>
      <c r="G91" s="484">
        <f t="shared" si="9"/>
        <v>19537</v>
      </c>
      <c r="H91" s="485">
        <v>14718</v>
      </c>
      <c r="I91" s="492">
        <v>13628</v>
      </c>
      <c r="J91" s="485">
        <v>958</v>
      </c>
      <c r="K91" s="492">
        <v>815</v>
      </c>
      <c r="L91" s="485">
        <v>4450</v>
      </c>
      <c r="M91" s="485">
        <v>0</v>
      </c>
      <c r="N91" s="485">
        <v>0</v>
      </c>
      <c r="O91" s="492">
        <v>5094</v>
      </c>
      <c r="P91" s="492">
        <v>0</v>
      </c>
      <c r="Q91" s="492">
        <v>0</v>
      </c>
      <c r="R91" s="485">
        <v>0</v>
      </c>
      <c r="S91" s="492">
        <v>0</v>
      </c>
      <c r="T91" s="483">
        <f t="shared" si="10"/>
        <v>0</v>
      </c>
      <c r="U91" s="484">
        <f t="shared" si="11"/>
        <v>0</v>
      </c>
      <c r="V91" s="485"/>
      <c r="W91" s="486"/>
      <c r="X91" s="485"/>
      <c r="Y91" s="486"/>
      <c r="Z91" s="485"/>
      <c r="AA91" s="485"/>
      <c r="AB91" s="485"/>
      <c r="AC91" s="486"/>
      <c r="AD91" s="486"/>
      <c r="AE91" s="486"/>
      <c r="AF91" s="485"/>
      <c r="AG91" s="486"/>
    </row>
    <row r="92" spans="1:33">
      <c r="A92" s="75" t="s">
        <v>120</v>
      </c>
      <c r="B92" s="76" t="s">
        <v>129</v>
      </c>
      <c r="C92" s="79"/>
      <c r="D92" s="78">
        <v>134343</v>
      </c>
      <c r="E92" s="83">
        <v>7</v>
      </c>
      <c r="F92" s="483">
        <f t="shared" si="8"/>
        <v>104166</v>
      </c>
      <c r="G92" s="484">
        <f t="shared" si="9"/>
        <v>105466</v>
      </c>
      <c r="H92" s="485">
        <v>64170</v>
      </c>
      <c r="I92" s="492">
        <v>63471</v>
      </c>
      <c r="J92" s="485">
        <v>11132</v>
      </c>
      <c r="K92" s="492">
        <v>10562</v>
      </c>
      <c r="L92" s="485">
        <v>28864</v>
      </c>
      <c r="M92" s="485">
        <v>0</v>
      </c>
      <c r="N92" s="485">
        <v>0</v>
      </c>
      <c r="O92" s="492">
        <v>31433</v>
      </c>
      <c r="P92" s="492">
        <v>0</v>
      </c>
      <c r="Q92" s="492">
        <v>0</v>
      </c>
      <c r="R92" s="485">
        <v>0</v>
      </c>
      <c r="S92" s="492">
        <v>0</v>
      </c>
      <c r="T92" s="483">
        <f t="shared" si="10"/>
        <v>0</v>
      </c>
      <c r="U92" s="484">
        <f t="shared" si="11"/>
        <v>0</v>
      </c>
      <c r="V92" s="485"/>
      <c r="W92" s="486"/>
      <c r="X92" s="485"/>
      <c r="Y92" s="486"/>
      <c r="Z92" s="485"/>
      <c r="AA92" s="485"/>
      <c r="AB92" s="485"/>
      <c r="AC92" s="486"/>
      <c r="AD92" s="486"/>
      <c r="AE92" s="486"/>
      <c r="AF92" s="485"/>
      <c r="AG92" s="486"/>
    </row>
    <row r="93" spans="1:33">
      <c r="A93" s="75" t="s">
        <v>120</v>
      </c>
      <c r="B93" s="76" t="s">
        <v>130</v>
      </c>
      <c r="C93" s="77"/>
      <c r="D93" s="78">
        <v>134495</v>
      </c>
      <c r="E93" s="83">
        <v>8</v>
      </c>
      <c r="F93" s="483">
        <f t="shared" si="8"/>
        <v>563021</v>
      </c>
      <c r="G93" s="484">
        <f t="shared" si="9"/>
        <v>579678</v>
      </c>
      <c r="H93" s="485">
        <v>388663</v>
      </c>
      <c r="I93" s="492">
        <v>373686</v>
      </c>
      <c r="J93" s="485">
        <v>20438</v>
      </c>
      <c r="K93" s="492">
        <v>21989</v>
      </c>
      <c r="L93" s="485">
        <v>153144</v>
      </c>
      <c r="M93" s="485">
        <v>0</v>
      </c>
      <c r="N93" s="485">
        <v>776</v>
      </c>
      <c r="O93" s="492">
        <v>184003</v>
      </c>
      <c r="P93" s="492">
        <v>0</v>
      </c>
      <c r="Q93" s="492">
        <v>0</v>
      </c>
      <c r="R93" s="485">
        <v>0</v>
      </c>
      <c r="S93" s="492">
        <v>0</v>
      </c>
      <c r="T93" s="483">
        <f t="shared" si="10"/>
        <v>0</v>
      </c>
      <c r="U93" s="484">
        <f t="shared" si="11"/>
        <v>0</v>
      </c>
      <c r="V93" s="485"/>
      <c r="W93" s="486"/>
      <c r="X93" s="485"/>
      <c r="Y93" s="486"/>
      <c r="Z93" s="485"/>
      <c r="AA93" s="485"/>
      <c r="AB93" s="485"/>
      <c r="AC93" s="486"/>
      <c r="AD93" s="486"/>
      <c r="AE93" s="486"/>
      <c r="AF93" s="485"/>
      <c r="AG93" s="486"/>
    </row>
    <row r="94" spans="1:33">
      <c r="A94" s="75" t="s">
        <v>120</v>
      </c>
      <c r="B94" s="76" t="s">
        <v>131</v>
      </c>
      <c r="C94" s="81"/>
      <c r="D94" s="78">
        <v>134608</v>
      </c>
      <c r="E94" s="83">
        <v>7</v>
      </c>
      <c r="F94" s="483">
        <f t="shared" si="8"/>
        <v>345104</v>
      </c>
      <c r="G94" s="484">
        <f t="shared" si="9"/>
        <v>334639</v>
      </c>
      <c r="H94" s="485">
        <v>219547</v>
      </c>
      <c r="I94" s="492">
        <v>190271</v>
      </c>
      <c r="J94" s="485">
        <v>31207</v>
      </c>
      <c r="K94" s="492">
        <v>49203</v>
      </c>
      <c r="L94" s="485">
        <v>94037</v>
      </c>
      <c r="M94" s="485">
        <v>0</v>
      </c>
      <c r="N94" s="485">
        <v>0</v>
      </c>
      <c r="O94" s="492">
        <v>61281</v>
      </c>
      <c r="P94" s="492">
        <v>0</v>
      </c>
      <c r="Q94" s="492">
        <v>33691</v>
      </c>
      <c r="R94" s="485">
        <v>313</v>
      </c>
      <c r="S94" s="492">
        <v>193</v>
      </c>
      <c r="T94" s="483">
        <f t="shared" si="10"/>
        <v>0</v>
      </c>
      <c r="U94" s="484">
        <f t="shared" si="11"/>
        <v>0</v>
      </c>
      <c r="V94" s="485"/>
      <c r="W94" s="486"/>
      <c r="X94" s="485"/>
      <c r="Y94" s="486"/>
      <c r="Z94" s="485"/>
      <c r="AA94" s="485"/>
      <c r="AB94" s="485"/>
      <c r="AC94" s="486"/>
      <c r="AD94" s="486"/>
      <c r="AE94" s="486"/>
      <c r="AF94" s="485"/>
      <c r="AG94" s="486"/>
    </row>
    <row r="95" spans="1:33">
      <c r="A95" s="75" t="s">
        <v>120</v>
      </c>
      <c r="B95" s="76" t="s">
        <v>132</v>
      </c>
      <c r="C95" s="80"/>
      <c r="D95" s="78">
        <v>135160</v>
      </c>
      <c r="E95" s="83">
        <v>7</v>
      </c>
      <c r="F95" s="483">
        <f t="shared" si="8"/>
        <v>60992</v>
      </c>
      <c r="G95" s="484">
        <f t="shared" si="9"/>
        <v>63453</v>
      </c>
      <c r="H95" s="485">
        <v>24704</v>
      </c>
      <c r="I95" s="492">
        <v>24108</v>
      </c>
      <c r="J95" s="485">
        <v>5460</v>
      </c>
      <c r="K95" s="492">
        <v>4749</v>
      </c>
      <c r="L95" s="485">
        <v>30822</v>
      </c>
      <c r="M95" s="485">
        <v>0</v>
      </c>
      <c r="N95" s="485">
        <v>6</v>
      </c>
      <c r="O95" s="492">
        <v>34596</v>
      </c>
      <c r="P95" s="492">
        <v>0</v>
      </c>
      <c r="Q95" s="492">
        <v>0</v>
      </c>
      <c r="R95" s="485">
        <v>0</v>
      </c>
      <c r="S95" s="492">
        <v>0</v>
      </c>
      <c r="T95" s="483">
        <f t="shared" si="10"/>
        <v>0</v>
      </c>
      <c r="U95" s="484">
        <f t="shared" si="11"/>
        <v>0</v>
      </c>
      <c r="V95" s="485"/>
      <c r="W95" s="486"/>
      <c r="X95" s="485"/>
      <c r="Y95" s="486"/>
      <c r="Z95" s="485"/>
      <c r="AA95" s="485"/>
      <c r="AB95" s="485"/>
      <c r="AC95" s="486"/>
      <c r="AD95" s="486"/>
      <c r="AE95" s="486"/>
      <c r="AF95" s="485"/>
      <c r="AG95" s="486"/>
    </row>
    <row r="96" spans="1:33">
      <c r="A96" s="75" t="s">
        <v>120</v>
      </c>
      <c r="B96" s="76" t="s">
        <v>133</v>
      </c>
      <c r="C96" s="80"/>
      <c r="D96" s="78">
        <v>135188</v>
      </c>
      <c r="E96" s="83">
        <v>7</v>
      </c>
      <c r="F96" s="483">
        <f t="shared" si="8"/>
        <v>91458</v>
      </c>
      <c r="G96" s="484">
        <f t="shared" si="9"/>
        <v>95582</v>
      </c>
      <c r="H96" s="485">
        <v>63244</v>
      </c>
      <c r="I96" s="492">
        <v>62930</v>
      </c>
      <c r="J96" s="485">
        <v>0</v>
      </c>
      <c r="K96" s="492">
        <v>0</v>
      </c>
      <c r="L96" s="485">
        <v>28214</v>
      </c>
      <c r="M96" s="485">
        <v>0</v>
      </c>
      <c r="N96" s="485">
        <v>0</v>
      </c>
      <c r="O96" s="492">
        <v>32652</v>
      </c>
      <c r="P96" s="492">
        <v>0</v>
      </c>
      <c r="Q96" s="492">
        <v>0</v>
      </c>
      <c r="R96" s="485">
        <v>0</v>
      </c>
      <c r="S96" s="492">
        <v>0</v>
      </c>
      <c r="T96" s="483">
        <f t="shared" si="10"/>
        <v>0</v>
      </c>
      <c r="U96" s="484">
        <f t="shared" si="11"/>
        <v>0</v>
      </c>
      <c r="V96" s="485"/>
      <c r="W96" s="486"/>
      <c r="X96" s="485"/>
      <c r="Y96" s="486"/>
      <c r="Z96" s="485"/>
      <c r="AA96" s="485"/>
      <c r="AB96" s="485"/>
      <c r="AC96" s="486"/>
      <c r="AD96" s="486"/>
      <c r="AE96" s="486"/>
      <c r="AF96" s="485"/>
      <c r="AG96" s="486"/>
    </row>
    <row r="97" spans="1:33">
      <c r="A97" s="75" t="s">
        <v>120</v>
      </c>
      <c r="B97" s="76" t="s">
        <v>134</v>
      </c>
      <c r="C97" s="79"/>
      <c r="D97" s="78">
        <v>135391</v>
      </c>
      <c r="E97" s="83">
        <v>7</v>
      </c>
      <c r="F97" s="483">
        <f t="shared" si="8"/>
        <v>209396</v>
      </c>
      <c r="G97" s="484">
        <f t="shared" si="9"/>
        <v>203423</v>
      </c>
      <c r="H97" s="485">
        <v>125418</v>
      </c>
      <c r="I97" s="492">
        <v>117600</v>
      </c>
      <c r="J97" s="485">
        <v>11221</v>
      </c>
      <c r="K97" s="492">
        <v>10122</v>
      </c>
      <c r="L97" s="485">
        <v>72757</v>
      </c>
      <c r="M97" s="485">
        <v>0</v>
      </c>
      <c r="N97" s="485">
        <v>0</v>
      </c>
      <c r="O97" s="492">
        <v>75701</v>
      </c>
      <c r="P97" s="492">
        <v>0</v>
      </c>
      <c r="Q97" s="492">
        <v>0</v>
      </c>
      <c r="R97" s="485">
        <v>0</v>
      </c>
      <c r="S97" s="492">
        <v>0</v>
      </c>
      <c r="T97" s="483">
        <f t="shared" si="10"/>
        <v>0</v>
      </c>
      <c r="U97" s="484">
        <f t="shared" si="11"/>
        <v>0</v>
      </c>
      <c r="V97" s="485"/>
      <c r="W97" s="486"/>
      <c r="X97" s="485"/>
      <c r="Y97" s="486"/>
      <c r="Z97" s="485"/>
      <c r="AA97" s="485"/>
      <c r="AB97" s="485"/>
      <c r="AC97" s="486"/>
      <c r="AD97" s="486"/>
      <c r="AE97" s="486"/>
      <c r="AF97" s="485"/>
      <c r="AG97" s="486"/>
    </row>
    <row r="98" spans="1:33">
      <c r="A98" s="75" t="s">
        <v>120</v>
      </c>
      <c r="B98" s="76" t="s">
        <v>135</v>
      </c>
      <c r="C98" s="77"/>
      <c r="D98" s="78">
        <v>135717</v>
      </c>
      <c r="E98" s="83">
        <v>7</v>
      </c>
      <c r="F98" s="483">
        <f t="shared" si="8"/>
        <v>1343994</v>
      </c>
      <c r="G98" s="484">
        <f t="shared" si="9"/>
        <v>1360384</v>
      </c>
      <c r="H98" s="485">
        <v>1200118</v>
      </c>
      <c r="I98" s="492">
        <v>1196201</v>
      </c>
      <c r="J98" s="485">
        <v>18946</v>
      </c>
      <c r="K98" s="492">
        <v>19712</v>
      </c>
      <c r="L98" s="485">
        <v>123281</v>
      </c>
      <c r="M98" s="485">
        <v>0</v>
      </c>
      <c r="N98" s="485">
        <v>0</v>
      </c>
      <c r="O98" s="492">
        <v>142977</v>
      </c>
      <c r="P98" s="492">
        <v>0</v>
      </c>
      <c r="Q98" s="492">
        <v>0</v>
      </c>
      <c r="R98" s="485">
        <v>1649</v>
      </c>
      <c r="S98" s="492">
        <v>1494</v>
      </c>
      <c r="T98" s="483">
        <f t="shared" si="10"/>
        <v>0</v>
      </c>
      <c r="U98" s="484">
        <f t="shared" si="11"/>
        <v>0</v>
      </c>
      <c r="V98" s="485"/>
      <c r="W98" s="486"/>
      <c r="X98" s="485"/>
      <c r="Y98" s="486"/>
      <c r="Z98" s="485"/>
      <c r="AA98" s="485"/>
      <c r="AB98" s="485"/>
      <c r="AC98" s="486"/>
      <c r="AD98" s="486"/>
      <c r="AE98" s="486"/>
      <c r="AF98" s="485"/>
      <c r="AG98" s="486"/>
    </row>
    <row r="99" spans="1:33">
      <c r="A99" s="75" t="s">
        <v>120</v>
      </c>
      <c r="B99" s="76" t="s">
        <v>136</v>
      </c>
      <c r="C99" s="77"/>
      <c r="D99" s="78">
        <v>136145</v>
      </c>
      <c r="E99" s="83">
        <v>10</v>
      </c>
      <c r="F99" s="483">
        <f t="shared" si="8"/>
        <v>22174</v>
      </c>
      <c r="G99" s="484">
        <f t="shared" si="9"/>
        <v>22801</v>
      </c>
      <c r="H99" s="485">
        <v>13899</v>
      </c>
      <c r="I99" s="492">
        <v>13261</v>
      </c>
      <c r="J99" s="485">
        <v>456</v>
      </c>
      <c r="K99" s="492">
        <v>420</v>
      </c>
      <c r="L99" s="485">
        <v>7819</v>
      </c>
      <c r="M99" s="485">
        <v>0</v>
      </c>
      <c r="N99" s="485">
        <v>0</v>
      </c>
      <c r="O99" s="492">
        <v>9039</v>
      </c>
      <c r="P99" s="492">
        <v>0</v>
      </c>
      <c r="Q99" s="492">
        <v>81</v>
      </c>
      <c r="R99" s="485">
        <v>0</v>
      </c>
      <c r="S99" s="492">
        <v>0</v>
      </c>
      <c r="T99" s="483">
        <f t="shared" si="10"/>
        <v>0</v>
      </c>
      <c r="U99" s="484">
        <f t="shared" si="11"/>
        <v>0</v>
      </c>
      <c r="V99" s="485"/>
      <c r="W99" s="486"/>
      <c r="X99" s="485"/>
      <c r="Y99" s="486"/>
      <c r="Z99" s="485"/>
      <c r="AA99" s="485"/>
      <c r="AB99" s="485"/>
      <c r="AC99" s="486"/>
      <c r="AD99" s="486"/>
      <c r="AE99" s="486"/>
      <c r="AF99" s="485"/>
      <c r="AG99" s="486"/>
    </row>
    <row r="100" spans="1:33">
      <c r="A100" s="75" t="s">
        <v>120</v>
      </c>
      <c r="B100" s="76" t="s">
        <v>137</v>
      </c>
      <c r="C100" s="77"/>
      <c r="D100" s="78">
        <v>136233</v>
      </c>
      <c r="E100" s="83">
        <v>7</v>
      </c>
      <c r="F100" s="483">
        <f t="shared" si="8"/>
        <v>109129</v>
      </c>
      <c r="G100" s="484">
        <f t="shared" si="9"/>
        <v>108372</v>
      </c>
      <c r="H100" s="485">
        <v>65949</v>
      </c>
      <c r="I100" s="492">
        <v>62708</v>
      </c>
      <c r="J100" s="485">
        <v>9073</v>
      </c>
      <c r="K100" s="492">
        <v>7763</v>
      </c>
      <c r="L100" s="485">
        <v>34107</v>
      </c>
      <c r="M100" s="485">
        <v>0</v>
      </c>
      <c r="N100" s="485">
        <v>0</v>
      </c>
      <c r="O100" s="492">
        <v>37901</v>
      </c>
      <c r="P100" s="492">
        <v>0</v>
      </c>
      <c r="Q100" s="492">
        <v>0</v>
      </c>
      <c r="R100" s="485">
        <v>0</v>
      </c>
      <c r="S100" s="492">
        <v>0</v>
      </c>
      <c r="T100" s="483">
        <f t="shared" si="10"/>
        <v>0</v>
      </c>
      <c r="U100" s="484">
        <f t="shared" si="11"/>
        <v>0</v>
      </c>
      <c r="V100" s="485"/>
      <c r="W100" s="486"/>
      <c r="X100" s="485"/>
      <c r="Y100" s="486"/>
      <c r="Z100" s="485"/>
      <c r="AA100" s="485"/>
      <c r="AB100" s="485"/>
      <c r="AC100" s="486"/>
      <c r="AD100" s="486"/>
      <c r="AE100" s="486"/>
      <c r="AF100" s="485"/>
      <c r="AG100" s="486"/>
    </row>
    <row r="101" spans="1:33">
      <c r="A101" s="75" t="s">
        <v>120</v>
      </c>
      <c r="B101" s="76" t="s">
        <v>138</v>
      </c>
      <c r="C101" s="79"/>
      <c r="D101" s="78">
        <v>136358</v>
      </c>
      <c r="E101" s="83">
        <v>7</v>
      </c>
      <c r="F101" s="483">
        <f t="shared" si="8"/>
        <v>585968</v>
      </c>
      <c r="G101" s="484">
        <f t="shared" si="9"/>
        <v>596392</v>
      </c>
      <c r="H101" s="485">
        <v>467394</v>
      </c>
      <c r="I101" s="492">
        <v>465210</v>
      </c>
      <c r="J101" s="485">
        <v>8093</v>
      </c>
      <c r="K101" s="492">
        <v>7873</v>
      </c>
      <c r="L101" s="485">
        <v>108085</v>
      </c>
      <c r="M101" s="485">
        <v>0</v>
      </c>
      <c r="N101" s="485">
        <v>2396</v>
      </c>
      <c r="O101" s="492">
        <v>120172</v>
      </c>
      <c r="P101" s="492">
        <v>0</v>
      </c>
      <c r="Q101" s="492">
        <v>3137</v>
      </c>
      <c r="R101" s="485">
        <v>0</v>
      </c>
      <c r="S101" s="492">
        <v>0</v>
      </c>
      <c r="T101" s="483">
        <f t="shared" si="10"/>
        <v>0</v>
      </c>
      <c r="U101" s="484">
        <f t="shared" si="11"/>
        <v>0</v>
      </c>
      <c r="V101" s="485"/>
      <c r="W101" s="486"/>
      <c r="X101" s="485"/>
      <c r="Y101" s="486"/>
      <c r="Z101" s="485"/>
      <c r="AA101" s="485"/>
      <c r="AB101" s="485"/>
      <c r="AC101" s="486"/>
      <c r="AD101" s="486"/>
      <c r="AE101" s="486"/>
      <c r="AF101" s="485"/>
      <c r="AG101" s="486"/>
    </row>
    <row r="102" spans="1:33">
      <c r="A102" s="75" t="s">
        <v>120</v>
      </c>
      <c r="B102" s="76" t="s">
        <v>139</v>
      </c>
      <c r="C102" s="80" t="s">
        <v>955</v>
      </c>
      <c r="D102" s="78">
        <v>136400</v>
      </c>
      <c r="E102" s="82">
        <v>7</v>
      </c>
      <c r="F102" s="483">
        <f t="shared" si="8"/>
        <v>218649</v>
      </c>
      <c r="G102" s="484">
        <f t="shared" si="9"/>
        <v>219112</v>
      </c>
      <c r="H102" s="485">
        <v>146423</v>
      </c>
      <c r="I102" s="492">
        <v>141219</v>
      </c>
      <c r="J102" s="485">
        <v>10061</v>
      </c>
      <c r="K102" s="492">
        <v>10291</v>
      </c>
      <c r="L102" s="485">
        <v>62165</v>
      </c>
      <c r="M102" s="485">
        <v>0</v>
      </c>
      <c r="N102" s="485">
        <v>0</v>
      </c>
      <c r="O102" s="492">
        <v>67602</v>
      </c>
      <c r="P102" s="492">
        <v>0</v>
      </c>
      <c r="Q102" s="492">
        <v>0</v>
      </c>
      <c r="R102" s="485">
        <v>0</v>
      </c>
      <c r="S102" s="492">
        <v>0</v>
      </c>
      <c r="T102" s="483">
        <f t="shared" si="10"/>
        <v>0</v>
      </c>
      <c r="U102" s="484">
        <f t="shared" si="11"/>
        <v>0</v>
      </c>
      <c r="V102" s="485"/>
      <c r="W102" s="486"/>
      <c r="X102" s="485"/>
      <c r="Y102" s="486"/>
      <c r="Z102" s="485"/>
      <c r="AA102" s="485"/>
      <c r="AB102" s="485"/>
      <c r="AC102" s="486"/>
      <c r="AD102" s="486"/>
      <c r="AE102" s="486"/>
      <c r="AF102" s="485"/>
      <c r="AG102" s="486"/>
    </row>
    <row r="103" spans="1:33">
      <c r="A103" s="75" t="s">
        <v>120</v>
      </c>
      <c r="B103" s="76" t="s">
        <v>140</v>
      </c>
      <c r="C103" s="79"/>
      <c r="D103" s="78">
        <v>136473</v>
      </c>
      <c r="E103" s="83">
        <v>7</v>
      </c>
      <c r="F103" s="483">
        <f t="shared" si="8"/>
        <v>195818</v>
      </c>
      <c r="G103" s="484">
        <f t="shared" si="9"/>
        <v>200019</v>
      </c>
      <c r="H103" s="485">
        <v>127304</v>
      </c>
      <c r="I103" s="492">
        <v>125242</v>
      </c>
      <c r="J103" s="485">
        <v>17127</v>
      </c>
      <c r="K103" s="492">
        <v>16730</v>
      </c>
      <c r="L103" s="485">
        <v>50455</v>
      </c>
      <c r="M103" s="485">
        <v>932</v>
      </c>
      <c r="N103" s="485">
        <v>0</v>
      </c>
      <c r="O103" s="492">
        <v>57169</v>
      </c>
      <c r="P103" s="492">
        <v>878</v>
      </c>
      <c r="Q103" s="492">
        <v>0</v>
      </c>
      <c r="R103" s="485">
        <v>0</v>
      </c>
      <c r="S103" s="492">
        <v>0</v>
      </c>
      <c r="T103" s="483">
        <f t="shared" si="10"/>
        <v>0</v>
      </c>
      <c r="U103" s="484">
        <f t="shared" si="11"/>
        <v>0</v>
      </c>
      <c r="V103" s="485"/>
      <c r="W103" s="486"/>
      <c r="X103" s="485"/>
      <c r="Y103" s="486"/>
      <c r="Z103" s="485"/>
      <c r="AA103" s="485"/>
      <c r="AB103" s="485"/>
      <c r="AC103" s="486"/>
      <c r="AD103" s="486"/>
      <c r="AE103" s="486"/>
      <c r="AF103" s="485"/>
      <c r="AG103" s="486"/>
    </row>
    <row r="104" spans="1:33">
      <c r="A104" s="75" t="s">
        <v>120</v>
      </c>
      <c r="B104" s="76" t="s">
        <v>141</v>
      </c>
      <c r="C104" s="79"/>
      <c r="D104" s="78">
        <v>136516</v>
      </c>
      <c r="E104" s="83">
        <v>7</v>
      </c>
      <c r="F104" s="483">
        <f t="shared" si="8"/>
        <v>194341</v>
      </c>
      <c r="G104" s="484">
        <f t="shared" si="9"/>
        <v>194576</v>
      </c>
      <c r="H104" s="485">
        <v>111408</v>
      </c>
      <c r="I104" s="492">
        <v>105703</v>
      </c>
      <c r="J104" s="485">
        <v>21844</v>
      </c>
      <c r="K104" s="492">
        <v>21950</v>
      </c>
      <c r="L104" s="485">
        <v>61089</v>
      </c>
      <c r="M104" s="485">
        <v>0</v>
      </c>
      <c r="N104" s="485">
        <v>0</v>
      </c>
      <c r="O104" s="492">
        <v>66923</v>
      </c>
      <c r="P104" s="492">
        <v>0</v>
      </c>
      <c r="Q104" s="492">
        <v>0</v>
      </c>
      <c r="R104" s="485">
        <v>0</v>
      </c>
      <c r="S104" s="492">
        <v>0</v>
      </c>
      <c r="T104" s="483">
        <f t="shared" si="10"/>
        <v>0</v>
      </c>
      <c r="U104" s="484">
        <f t="shared" si="11"/>
        <v>0</v>
      </c>
      <c r="V104" s="485"/>
      <c r="W104" s="486"/>
      <c r="X104" s="485"/>
      <c r="Y104" s="486"/>
      <c r="Z104" s="485"/>
      <c r="AA104" s="485"/>
      <c r="AB104" s="485"/>
      <c r="AC104" s="486"/>
      <c r="AD104" s="486"/>
      <c r="AE104" s="486"/>
      <c r="AF104" s="485"/>
      <c r="AG104" s="486"/>
    </row>
    <row r="105" spans="1:33">
      <c r="A105" s="75" t="s">
        <v>120</v>
      </c>
      <c r="B105" s="76" t="s">
        <v>143</v>
      </c>
      <c r="C105" s="77"/>
      <c r="D105" s="78">
        <v>137078</v>
      </c>
      <c r="E105" s="83">
        <v>7</v>
      </c>
      <c r="F105" s="483">
        <f t="shared" si="8"/>
        <v>559640</v>
      </c>
      <c r="G105" s="484">
        <f t="shared" si="9"/>
        <v>550946</v>
      </c>
      <c r="H105" s="485">
        <v>308366</v>
      </c>
      <c r="I105" s="492">
        <v>287218</v>
      </c>
      <c r="J105" s="485">
        <v>0</v>
      </c>
      <c r="K105" s="492">
        <v>0</v>
      </c>
      <c r="L105" s="485">
        <v>251274</v>
      </c>
      <c r="M105" s="485">
        <v>0</v>
      </c>
      <c r="N105" s="485">
        <v>0</v>
      </c>
      <c r="O105" s="492">
        <v>263728</v>
      </c>
      <c r="P105" s="492">
        <v>0</v>
      </c>
      <c r="Q105" s="492">
        <v>0</v>
      </c>
      <c r="R105" s="485">
        <v>0</v>
      </c>
      <c r="S105" s="492">
        <v>0</v>
      </c>
      <c r="T105" s="483">
        <f t="shared" si="10"/>
        <v>0</v>
      </c>
      <c r="U105" s="484">
        <f t="shared" si="11"/>
        <v>0</v>
      </c>
      <c r="V105" s="485"/>
      <c r="W105" s="486"/>
      <c r="X105" s="485"/>
      <c r="Y105" s="486"/>
      <c r="Z105" s="485"/>
      <c r="AA105" s="485"/>
      <c r="AB105" s="485"/>
      <c r="AC105" s="486"/>
      <c r="AD105" s="486"/>
      <c r="AE105" s="486"/>
      <c r="AF105" s="485"/>
      <c r="AG105" s="486"/>
    </row>
    <row r="106" spans="1:33">
      <c r="A106" s="75" t="s">
        <v>120</v>
      </c>
      <c r="B106" s="76" t="s">
        <v>144</v>
      </c>
      <c r="C106" s="79"/>
      <c r="D106" s="78">
        <v>137096</v>
      </c>
      <c r="E106" s="83">
        <v>7</v>
      </c>
      <c r="F106" s="483">
        <f t="shared" si="8"/>
        <v>313939</v>
      </c>
      <c r="G106" s="484">
        <f t="shared" si="9"/>
        <v>310541</v>
      </c>
      <c r="H106" s="485">
        <v>233467</v>
      </c>
      <c r="I106" s="492">
        <v>227771</v>
      </c>
      <c r="J106" s="485">
        <v>4106</v>
      </c>
      <c r="K106" s="492">
        <v>4020</v>
      </c>
      <c r="L106" s="485">
        <v>76366</v>
      </c>
      <c r="M106" s="485">
        <v>0</v>
      </c>
      <c r="N106" s="485">
        <v>0</v>
      </c>
      <c r="O106" s="492">
        <v>78750</v>
      </c>
      <c r="P106" s="492">
        <v>0</v>
      </c>
      <c r="Q106" s="492">
        <v>0</v>
      </c>
      <c r="R106" s="485">
        <v>0</v>
      </c>
      <c r="S106" s="492">
        <v>0</v>
      </c>
      <c r="T106" s="483">
        <f t="shared" si="10"/>
        <v>0</v>
      </c>
      <c r="U106" s="484">
        <f t="shared" si="11"/>
        <v>0</v>
      </c>
      <c r="V106" s="485"/>
      <c r="W106" s="486"/>
      <c r="X106" s="485"/>
      <c r="Y106" s="486"/>
      <c r="Z106" s="485"/>
      <c r="AA106" s="485"/>
      <c r="AB106" s="485"/>
      <c r="AC106" s="486"/>
      <c r="AD106" s="486"/>
      <c r="AE106" s="486"/>
      <c r="AF106" s="485"/>
      <c r="AG106" s="486"/>
    </row>
    <row r="107" spans="1:33">
      <c r="A107" s="75" t="s">
        <v>120</v>
      </c>
      <c r="B107" s="76" t="s">
        <v>145</v>
      </c>
      <c r="C107" s="79"/>
      <c r="D107" s="78">
        <v>137209</v>
      </c>
      <c r="E107" s="83">
        <v>7</v>
      </c>
      <c r="F107" s="483">
        <f t="shared" si="8"/>
        <v>335561</v>
      </c>
      <c r="G107" s="484">
        <f t="shared" si="9"/>
        <v>338854</v>
      </c>
      <c r="H107" s="485">
        <v>218881</v>
      </c>
      <c r="I107" s="492">
        <v>210550</v>
      </c>
      <c r="J107" s="485">
        <v>0</v>
      </c>
      <c r="K107" s="492">
        <v>0</v>
      </c>
      <c r="L107" s="485">
        <v>116680</v>
      </c>
      <c r="M107" s="485">
        <v>0</v>
      </c>
      <c r="N107" s="485">
        <v>0</v>
      </c>
      <c r="O107" s="492">
        <v>128304</v>
      </c>
      <c r="P107" s="492">
        <v>0</v>
      </c>
      <c r="Q107" s="492">
        <v>0</v>
      </c>
      <c r="R107" s="485">
        <v>0</v>
      </c>
      <c r="S107" s="492">
        <v>0</v>
      </c>
      <c r="T107" s="483">
        <f t="shared" si="10"/>
        <v>0</v>
      </c>
      <c r="U107" s="484">
        <f t="shared" si="11"/>
        <v>0</v>
      </c>
      <c r="V107" s="485"/>
      <c r="W107" s="486"/>
      <c r="X107" s="485"/>
      <c r="Y107" s="486"/>
      <c r="Z107" s="485"/>
      <c r="AA107" s="485"/>
      <c r="AB107" s="485"/>
      <c r="AC107" s="486"/>
      <c r="AD107" s="486"/>
      <c r="AE107" s="486"/>
      <c r="AF107" s="485"/>
      <c r="AG107" s="486"/>
    </row>
    <row r="108" spans="1:33">
      <c r="A108" s="75" t="s">
        <v>120</v>
      </c>
      <c r="B108" s="76" t="s">
        <v>142</v>
      </c>
      <c r="C108" s="79"/>
      <c r="D108" s="78">
        <v>137281</v>
      </c>
      <c r="E108" s="83">
        <v>7</v>
      </c>
      <c r="F108" s="483">
        <f t="shared" si="8"/>
        <v>130215</v>
      </c>
      <c r="G108" s="484">
        <f t="shared" si="9"/>
        <v>132562</v>
      </c>
      <c r="H108" s="485">
        <v>73667</v>
      </c>
      <c r="I108" s="492">
        <v>69707</v>
      </c>
      <c r="J108" s="485">
        <v>16328</v>
      </c>
      <c r="K108" s="492">
        <v>18518</v>
      </c>
      <c r="L108" s="485">
        <v>40220</v>
      </c>
      <c r="M108" s="485">
        <v>0</v>
      </c>
      <c r="N108" s="485">
        <v>0</v>
      </c>
      <c r="O108" s="492">
        <v>44337</v>
      </c>
      <c r="P108" s="492">
        <v>0</v>
      </c>
      <c r="Q108" s="492">
        <v>0</v>
      </c>
      <c r="R108" s="485">
        <v>0</v>
      </c>
      <c r="S108" s="492">
        <v>0</v>
      </c>
      <c r="T108" s="483">
        <f t="shared" si="10"/>
        <v>0</v>
      </c>
      <c r="U108" s="484">
        <f t="shared" si="11"/>
        <v>0</v>
      </c>
      <c r="V108" s="485"/>
      <c r="W108" s="486"/>
      <c r="X108" s="485"/>
      <c r="Y108" s="486"/>
      <c r="Z108" s="485"/>
      <c r="AA108" s="485"/>
      <c r="AB108" s="485"/>
      <c r="AC108" s="486"/>
      <c r="AD108" s="486"/>
      <c r="AE108" s="486"/>
      <c r="AF108" s="485"/>
      <c r="AG108" s="486"/>
    </row>
    <row r="109" spans="1:33">
      <c r="A109" s="75" t="s">
        <v>120</v>
      </c>
      <c r="B109" s="76" t="s">
        <v>146</v>
      </c>
      <c r="C109" s="80"/>
      <c r="D109" s="78">
        <v>137315</v>
      </c>
      <c r="E109" s="83">
        <v>7</v>
      </c>
      <c r="F109" s="483">
        <f t="shared" si="8"/>
        <v>47642</v>
      </c>
      <c r="G109" s="484">
        <f t="shared" si="9"/>
        <v>48386</v>
      </c>
      <c r="H109" s="485">
        <v>26094</v>
      </c>
      <c r="I109" s="492">
        <v>25116</v>
      </c>
      <c r="J109" s="485">
        <v>10629</v>
      </c>
      <c r="K109" s="492">
        <v>10347</v>
      </c>
      <c r="L109" s="485">
        <v>10832</v>
      </c>
      <c r="M109" s="485">
        <v>0</v>
      </c>
      <c r="N109" s="485">
        <v>87</v>
      </c>
      <c r="O109" s="492">
        <v>12872</v>
      </c>
      <c r="P109" s="492">
        <v>4</v>
      </c>
      <c r="Q109" s="492">
        <v>47</v>
      </c>
      <c r="R109" s="485">
        <v>0</v>
      </c>
      <c r="S109" s="492">
        <v>0</v>
      </c>
      <c r="T109" s="483">
        <f t="shared" si="10"/>
        <v>0</v>
      </c>
      <c r="U109" s="484">
        <f t="shared" si="11"/>
        <v>0</v>
      </c>
      <c r="V109" s="485"/>
      <c r="W109" s="486"/>
      <c r="X109" s="485"/>
      <c r="Y109" s="486"/>
      <c r="Z109" s="485"/>
      <c r="AA109" s="485"/>
      <c r="AB109" s="485"/>
      <c r="AC109" s="486"/>
      <c r="AD109" s="486"/>
      <c r="AE109" s="486"/>
      <c r="AF109" s="485"/>
      <c r="AG109" s="486"/>
    </row>
    <row r="110" spans="1:33">
      <c r="A110" s="75" t="s">
        <v>120</v>
      </c>
      <c r="B110" s="76" t="s">
        <v>147</v>
      </c>
      <c r="C110" s="77"/>
      <c r="D110" s="78">
        <v>137759</v>
      </c>
      <c r="E110" s="83">
        <v>8</v>
      </c>
      <c r="F110" s="483">
        <f t="shared" si="8"/>
        <v>261138</v>
      </c>
      <c r="G110" s="484">
        <f t="shared" si="9"/>
        <v>265558</v>
      </c>
      <c r="H110" s="485">
        <v>188597</v>
      </c>
      <c r="I110" s="492">
        <v>178837</v>
      </c>
      <c r="J110" s="485">
        <v>11117</v>
      </c>
      <c r="K110" s="492">
        <v>11853</v>
      </c>
      <c r="L110" s="485">
        <v>61424</v>
      </c>
      <c r="M110" s="485">
        <v>0</v>
      </c>
      <c r="N110" s="485">
        <v>0</v>
      </c>
      <c r="O110" s="492">
        <v>74868</v>
      </c>
      <c r="P110" s="492">
        <v>0</v>
      </c>
      <c r="Q110" s="492">
        <v>0</v>
      </c>
      <c r="R110" s="485">
        <v>0</v>
      </c>
      <c r="S110" s="492">
        <v>0</v>
      </c>
      <c r="T110" s="483">
        <f t="shared" si="10"/>
        <v>0</v>
      </c>
      <c r="U110" s="484">
        <f t="shared" si="11"/>
        <v>0</v>
      </c>
      <c r="V110" s="485"/>
      <c r="W110" s="486"/>
      <c r="X110" s="485"/>
      <c r="Y110" s="486"/>
      <c r="Z110" s="485"/>
      <c r="AA110" s="485"/>
      <c r="AB110" s="485"/>
      <c r="AC110" s="486"/>
      <c r="AD110" s="486"/>
      <c r="AE110" s="486"/>
      <c r="AF110" s="485"/>
      <c r="AG110" s="486"/>
    </row>
    <row r="111" spans="1:33">
      <c r="A111" s="75" t="s">
        <v>120</v>
      </c>
      <c r="B111" s="76" t="s">
        <v>148</v>
      </c>
      <c r="C111" s="80"/>
      <c r="D111" s="78">
        <v>138187</v>
      </c>
      <c r="E111" s="83">
        <v>7</v>
      </c>
      <c r="F111" s="483">
        <f t="shared" si="8"/>
        <v>904144</v>
      </c>
      <c r="G111" s="484">
        <f t="shared" si="9"/>
        <v>944854</v>
      </c>
      <c r="H111" s="485">
        <v>632191</v>
      </c>
      <c r="I111" s="492">
        <v>631666</v>
      </c>
      <c r="J111" s="485">
        <v>16576</v>
      </c>
      <c r="K111" s="492">
        <v>27641</v>
      </c>
      <c r="L111" s="485">
        <v>255377</v>
      </c>
      <c r="M111" s="485">
        <v>0</v>
      </c>
      <c r="N111" s="485">
        <v>0</v>
      </c>
      <c r="O111" s="492">
        <v>285547</v>
      </c>
      <c r="P111" s="492">
        <v>0</v>
      </c>
      <c r="Q111" s="492">
        <v>0</v>
      </c>
      <c r="R111" s="485">
        <v>0</v>
      </c>
      <c r="S111" s="492">
        <v>0</v>
      </c>
      <c r="T111" s="483">
        <f t="shared" si="10"/>
        <v>0</v>
      </c>
      <c r="U111" s="484">
        <f t="shared" si="11"/>
        <v>0</v>
      </c>
      <c r="V111" s="485"/>
      <c r="W111" s="486"/>
      <c r="X111" s="485"/>
      <c r="Y111" s="486"/>
      <c r="Z111" s="485"/>
      <c r="AA111" s="485"/>
      <c r="AB111" s="485"/>
      <c r="AC111" s="486"/>
      <c r="AD111" s="486"/>
      <c r="AE111" s="486"/>
      <c r="AF111" s="485"/>
      <c r="AG111" s="486"/>
    </row>
    <row r="112" spans="1:33" s="28" customFormat="1" ht="13.5" customHeight="1">
      <c r="A112" s="84" t="s">
        <v>149</v>
      </c>
      <c r="B112" s="89" t="s">
        <v>956</v>
      </c>
      <c r="C112" s="86"/>
      <c r="D112" s="87" t="s">
        <v>150</v>
      </c>
      <c r="E112" s="88">
        <v>1</v>
      </c>
      <c r="F112" s="483">
        <f t="shared" si="8"/>
        <v>1079128</v>
      </c>
      <c r="G112" s="484">
        <f t="shared" si="9"/>
        <v>1112833.5</v>
      </c>
      <c r="H112" s="485">
        <v>878485</v>
      </c>
      <c r="I112" s="486">
        <v>892341.5</v>
      </c>
      <c r="J112" s="485">
        <v>7973</v>
      </c>
      <c r="K112" s="486">
        <v>8007</v>
      </c>
      <c r="L112" s="485">
        <v>192670</v>
      </c>
      <c r="M112" s="485">
        <v>0</v>
      </c>
      <c r="N112" s="485">
        <v>0</v>
      </c>
      <c r="O112" s="486">
        <v>212485</v>
      </c>
      <c r="P112" s="486">
        <v>0</v>
      </c>
      <c r="Q112" s="486">
        <v>0</v>
      </c>
      <c r="R112" s="485">
        <v>0</v>
      </c>
      <c r="S112" s="486">
        <v>0</v>
      </c>
      <c r="T112" s="483">
        <f t="shared" si="10"/>
        <v>228447.5</v>
      </c>
      <c r="U112" s="484">
        <f t="shared" si="11"/>
        <v>223137</v>
      </c>
      <c r="V112" s="485">
        <v>121768.5</v>
      </c>
      <c r="W112" s="486">
        <v>119984.5</v>
      </c>
      <c r="X112" s="485">
        <v>93810.5</v>
      </c>
      <c r="Y112" s="486">
        <v>87899</v>
      </c>
      <c r="Z112" s="485">
        <v>12868.5</v>
      </c>
      <c r="AA112" s="485">
        <v>0</v>
      </c>
      <c r="AB112" s="485">
        <v>0</v>
      </c>
      <c r="AC112" s="486">
        <v>15253.5</v>
      </c>
      <c r="AD112" s="486">
        <v>0</v>
      </c>
      <c r="AE112" s="486">
        <v>0</v>
      </c>
      <c r="AF112" s="485">
        <v>0</v>
      </c>
      <c r="AG112" s="486">
        <v>0</v>
      </c>
    </row>
    <row r="113" spans="1:33">
      <c r="A113" s="84" t="s">
        <v>149</v>
      </c>
      <c r="B113" s="89" t="s">
        <v>151</v>
      </c>
      <c r="C113" s="86"/>
      <c r="D113" s="87" t="s">
        <v>152</v>
      </c>
      <c r="E113" s="88">
        <v>1</v>
      </c>
      <c r="F113" s="483">
        <f t="shared" si="8"/>
        <v>825066</v>
      </c>
      <c r="G113" s="484">
        <f t="shared" si="9"/>
        <v>849589.5</v>
      </c>
      <c r="H113" s="485">
        <v>756415</v>
      </c>
      <c r="I113" s="486">
        <v>771468.5</v>
      </c>
      <c r="J113" s="485">
        <v>23696</v>
      </c>
      <c r="K113" s="486">
        <v>24111</v>
      </c>
      <c r="L113" s="485">
        <v>44955</v>
      </c>
      <c r="M113" s="485">
        <v>0</v>
      </c>
      <c r="N113" s="485">
        <v>0</v>
      </c>
      <c r="O113" s="486">
        <v>54010</v>
      </c>
      <c r="P113" s="486">
        <v>0</v>
      </c>
      <c r="Q113" s="486">
        <v>0</v>
      </c>
      <c r="R113" s="485">
        <v>0</v>
      </c>
      <c r="S113" s="486">
        <v>0</v>
      </c>
      <c r="T113" s="483">
        <f t="shared" si="10"/>
        <v>266525.45</v>
      </c>
      <c r="U113" s="484">
        <f t="shared" si="11"/>
        <v>274717.90000000002</v>
      </c>
      <c r="V113" s="485">
        <v>216533.15</v>
      </c>
      <c r="W113" s="486">
        <v>222339.6</v>
      </c>
      <c r="X113" s="485">
        <v>37159.800000000003</v>
      </c>
      <c r="Y113" s="486">
        <v>37534.800000000003</v>
      </c>
      <c r="Z113" s="485">
        <v>12832.5</v>
      </c>
      <c r="AA113" s="485">
        <v>0</v>
      </c>
      <c r="AB113" s="485">
        <v>0</v>
      </c>
      <c r="AC113" s="486">
        <v>14843.5</v>
      </c>
      <c r="AD113" s="486">
        <v>0</v>
      </c>
      <c r="AE113" s="486">
        <v>0</v>
      </c>
      <c r="AF113" s="485">
        <v>0</v>
      </c>
      <c r="AG113" s="486">
        <v>0</v>
      </c>
    </row>
    <row r="114" spans="1:33">
      <c r="A114" s="84" t="s">
        <v>149</v>
      </c>
      <c r="B114" s="89" t="s">
        <v>153</v>
      </c>
      <c r="C114" s="86"/>
      <c r="D114" s="87" t="s">
        <v>154</v>
      </c>
      <c r="E114" s="88">
        <v>2</v>
      </c>
      <c r="F114" s="483">
        <f t="shared" si="8"/>
        <v>438044</v>
      </c>
      <c r="G114" s="484">
        <f t="shared" si="9"/>
        <v>448495</v>
      </c>
      <c r="H114" s="485">
        <v>416332</v>
      </c>
      <c r="I114" s="486">
        <v>420703</v>
      </c>
      <c r="J114" s="485">
        <v>15181</v>
      </c>
      <c r="K114" s="486">
        <v>15600</v>
      </c>
      <c r="L114" s="485">
        <v>6531</v>
      </c>
      <c r="M114" s="485">
        <v>0</v>
      </c>
      <c r="N114" s="485">
        <v>0</v>
      </c>
      <c r="O114" s="486">
        <v>12192</v>
      </c>
      <c r="P114" s="486">
        <v>0</v>
      </c>
      <c r="Q114" s="486">
        <v>0</v>
      </c>
      <c r="R114" s="485">
        <v>0</v>
      </c>
      <c r="S114" s="486">
        <v>0</v>
      </c>
      <c r="T114" s="483">
        <f t="shared" si="10"/>
        <v>305290.5</v>
      </c>
      <c r="U114" s="484">
        <f t="shared" si="11"/>
        <v>332827.5</v>
      </c>
      <c r="V114" s="485">
        <v>243712.5</v>
      </c>
      <c r="W114" s="486">
        <v>243173.5</v>
      </c>
      <c r="X114" s="485">
        <v>4653</v>
      </c>
      <c r="Y114" s="486">
        <v>2564</v>
      </c>
      <c r="Z114" s="485">
        <v>56925</v>
      </c>
      <c r="AA114" s="485">
        <v>0</v>
      </c>
      <c r="AB114" s="485">
        <v>0</v>
      </c>
      <c r="AC114" s="486">
        <v>87090</v>
      </c>
      <c r="AD114" s="486">
        <v>0</v>
      </c>
      <c r="AE114" s="486">
        <v>0</v>
      </c>
      <c r="AF114" s="485">
        <v>0</v>
      </c>
      <c r="AG114" s="486">
        <v>0</v>
      </c>
    </row>
    <row r="115" spans="1:33">
      <c r="A115" s="84" t="s">
        <v>149</v>
      </c>
      <c r="B115" s="89" t="s">
        <v>155</v>
      </c>
      <c r="C115" s="86"/>
      <c r="D115" s="87" t="s">
        <v>156</v>
      </c>
      <c r="E115" s="88">
        <v>3</v>
      </c>
      <c r="F115" s="483">
        <f t="shared" si="8"/>
        <v>516394</v>
      </c>
      <c r="G115" s="484">
        <f t="shared" si="9"/>
        <v>658740</v>
      </c>
      <c r="H115" s="485">
        <v>425817</v>
      </c>
      <c r="I115" s="486">
        <v>535887</v>
      </c>
      <c r="J115" s="485">
        <v>4024</v>
      </c>
      <c r="K115" s="486">
        <v>9192</v>
      </c>
      <c r="L115" s="485">
        <v>86493</v>
      </c>
      <c r="M115" s="485">
        <v>0</v>
      </c>
      <c r="N115" s="485">
        <v>60</v>
      </c>
      <c r="O115" s="486">
        <v>113543</v>
      </c>
      <c r="P115" s="486">
        <v>0</v>
      </c>
      <c r="Q115" s="486">
        <v>118</v>
      </c>
      <c r="R115" s="485">
        <v>0</v>
      </c>
      <c r="S115" s="486">
        <v>0</v>
      </c>
      <c r="T115" s="483">
        <f t="shared" si="10"/>
        <v>47500</v>
      </c>
      <c r="U115" s="484">
        <f t="shared" si="11"/>
        <v>60765</v>
      </c>
      <c r="V115" s="485">
        <v>19526</v>
      </c>
      <c r="W115" s="486">
        <v>27405</v>
      </c>
      <c r="X115" s="485">
        <v>805</v>
      </c>
      <c r="Y115" s="486">
        <v>750</v>
      </c>
      <c r="Z115" s="485">
        <v>27110</v>
      </c>
      <c r="AA115" s="485">
        <v>0</v>
      </c>
      <c r="AB115" s="485">
        <v>59</v>
      </c>
      <c r="AC115" s="486">
        <v>32610</v>
      </c>
      <c r="AD115" s="486">
        <v>0</v>
      </c>
      <c r="AE115" s="486">
        <v>0</v>
      </c>
      <c r="AF115" s="485">
        <v>0</v>
      </c>
      <c r="AG115" s="486">
        <v>0</v>
      </c>
    </row>
    <row r="116" spans="1:33">
      <c r="A116" s="84" t="s">
        <v>149</v>
      </c>
      <c r="B116" s="89" t="s">
        <v>157</v>
      </c>
      <c r="C116" s="90"/>
      <c r="D116" s="87" t="s">
        <v>158</v>
      </c>
      <c r="E116" s="88">
        <v>3</v>
      </c>
      <c r="F116" s="483">
        <f t="shared" si="8"/>
        <v>858952</v>
      </c>
      <c r="G116" s="484">
        <f t="shared" si="9"/>
        <v>865628</v>
      </c>
      <c r="H116" s="485">
        <v>646729</v>
      </c>
      <c r="I116" s="486">
        <v>630086</v>
      </c>
      <c r="J116" s="485">
        <v>2475</v>
      </c>
      <c r="K116" s="486">
        <v>1246</v>
      </c>
      <c r="L116" s="485">
        <v>209748</v>
      </c>
      <c r="M116" s="485">
        <v>0</v>
      </c>
      <c r="N116" s="485">
        <v>0</v>
      </c>
      <c r="O116" s="486">
        <v>234296</v>
      </c>
      <c r="P116" s="486">
        <v>0</v>
      </c>
      <c r="Q116" s="486">
        <v>0</v>
      </c>
      <c r="R116" s="485">
        <v>0</v>
      </c>
      <c r="S116" s="486">
        <v>0</v>
      </c>
      <c r="T116" s="483">
        <f t="shared" si="10"/>
        <v>50524</v>
      </c>
      <c r="U116" s="484">
        <f t="shared" si="11"/>
        <v>54559</v>
      </c>
      <c r="V116" s="485">
        <v>22281</v>
      </c>
      <c r="W116" s="486">
        <v>22046</v>
      </c>
      <c r="X116" s="485">
        <v>6</v>
      </c>
      <c r="Y116" s="486">
        <v>236</v>
      </c>
      <c r="Z116" s="485">
        <v>28237</v>
      </c>
      <c r="AA116" s="485">
        <v>0</v>
      </c>
      <c r="AB116" s="485">
        <v>0</v>
      </c>
      <c r="AC116" s="486">
        <v>32277</v>
      </c>
      <c r="AD116" s="486">
        <v>0</v>
      </c>
      <c r="AE116" s="486">
        <v>0</v>
      </c>
      <c r="AF116" s="485">
        <v>0</v>
      </c>
      <c r="AG116" s="486">
        <v>0</v>
      </c>
    </row>
    <row r="117" spans="1:33">
      <c r="A117" s="84" t="s">
        <v>149</v>
      </c>
      <c r="B117" s="89" t="s">
        <v>159</v>
      </c>
      <c r="C117" s="86"/>
      <c r="D117" s="87" t="s">
        <v>160</v>
      </c>
      <c r="E117" s="88">
        <v>3</v>
      </c>
      <c r="F117" s="483">
        <f t="shared" si="8"/>
        <v>301158</v>
      </c>
      <c r="G117" s="484">
        <f t="shared" si="9"/>
        <v>299840</v>
      </c>
      <c r="H117" s="485">
        <v>199333</v>
      </c>
      <c r="I117" s="486">
        <v>185336</v>
      </c>
      <c r="J117" s="485">
        <v>11114</v>
      </c>
      <c r="K117" s="486">
        <v>11946</v>
      </c>
      <c r="L117" s="485">
        <v>90711</v>
      </c>
      <c r="M117" s="485">
        <v>0</v>
      </c>
      <c r="N117" s="485">
        <v>0</v>
      </c>
      <c r="O117" s="486">
        <v>102558</v>
      </c>
      <c r="P117" s="486">
        <v>0</v>
      </c>
      <c r="Q117" s="486">
        <v>0</v>
      </c>
      <c r="R117" s="485">
        <v>0</v>
      </c>
      <c r="S117" s="486">
        <v>0</v>
      </c>
      <c r="T117" s="483">
        <f t="shared" si="10"/>
        <v>38681</v>
      </c>
      <c r="U117" s="484">
        <f t="shared" si="11"/>
        <v>43601</v>
      </c>
      <c r="V117" s="485">
        <v>6242</v>
      </c>
      <c r="W117" s="486">
        <v>6361</v>
      </c>
      <c r="X117" s="485">
        <v>852</v>
      </c>
      <c r="Y117" s="486">
        <v>519</v>
      </c>
      <c r="Z117" s="485">
        <v>31587</v>
      </c>
      <c r="AA117" s="485">
        <v>0</v>
      </c>
      <c r="AB117" s="485">
        <v>0</v>
      </c>
      <c r="AC117" s="486">
        <v>36721</v>
      </c>
      <c r="AD117" s="486">
        <v>0</v>
      </c>
      <c r="AE117" s="486">
        <v>0</v>
      </c>
      <c r="AF117" s="485">
        <v>0</v>
      </c>
      <c r="AG117" s="486">
        <v>0</v>
      </c>
    </row>
    <row r="118" spans="1:33">
      <c r="A118" s="493" t="s">
        <v>149</v>
      </c>
      <c r="B118" s="89" t="s">
        <v>161</v>
      </c>
      <c r="C118" s="86"/>
      <c r="D118" s="87" t="s">
        <v>162</v>
      </c>
      <c r="E118" s="88">
        <v>3</v>
      </c>
      <c r="F118" s="483">
        <f t="shared" si="8"/>
        <v>236535</v>
      </c>
      <c r="G118" s="484">
        <f t="shared" si="9"/>
        <v>235745</v>
      </c>
      <c r="H118" s="485">
        <v>187610</v>
      </c>
      <c r="I118" s="486">
        <v>181218</v>
      </c>
      <c r="J118" s="485">
        <v>1373</v>
      </c>
      <c r="K118" s="486">
        <v>1244</v>
      </c>
      <c r="L118" s="485">
        <v>47324</v>
      </c>
      <c r="M118" s="485">
        <v>228</v>
      </c>
      <c r="N118" s="485">
        <v>0</v>
      </c>
      <c r="O118" s="486">
        <v>53004</v>
      </c>
      <c r="P118" s="486">
        <v>279</v>
      </c>
      <c r="Q118" s="486">
        <v>0</v>
      </c>
      <c r="R118" s="485">
        <v>0</v>
      </c>
      <c r="S118" s="486">
        <v>0</v>
      </c>
      <c r="T118" s="483">
        <f t="shared" si="10"/>
        <v>47314</v>
      </c>
      <c r="U118" s="484">
        <f t="shared" si="11"/>
        <v>44896</v>
      </c>
      <c r="V118" s="485">
        <v>11996</v>
      </c>
      <c r="W118" s="486">
        <v>10665</v>
      </c>
      <c r="X118" s="485">
        <v>829</v>
      </c>
      <c r="Y118" s="486">
        <v>611</v>
      </c>
      <c r="Z118" s="485">
        <v>34468</v>
      </c>
      <c r="AA118" s="485">
        <v>21</v>
      </c>
      <c r="AB118" s="485">
        <v>0</v>
      </c>
      <c r="AC118" s="486">
        <v>33605</v>
      </c>
      <c r="AD118" s="486">
        <v>15</v>
      </c>
      <c r="AE118" s="486">
        <v>0</v>
      </c>
      <c r="AF118" s="485">
        <v>0</v>
      </c>
      <c r="AG118" s="486">
        <v>0</v>
      </c>
    </row>
    <row r="119" spans="1:33">
      <c r="A119" s="84" t="s">
        <v>149</v>
      </c>
      <c r="B119" s="89" t="s">
        <v>163</v>
      </c>
      <c r="C119" s="86"/>
      <c r="D119" s="87" t="s">
        <v>164</v>
      </c>
      <c r="E119" s="88">
        <v>4</v>
      </c>
      <c r="F119" s="483">
        <f t="shared" si="8"/>
        <v>154129.5</v>
      </c>
      <c r="G119" s="484">
        <f t="shared" si="9"/>
        <v>150811</v>
      </c>
      <c r="H119" s="485">
        <v>100600.5</v>
      </c>
      <c r="I119" s="486">
        <v>102610</v>
      </c>
      <c r="J119" s="485">
        <v>3528</v>
      </c>
      <c r="K119" s="486">
        <v>2725</v>
      </c>
      <c r="L119" s="485">
        <v>49742</v>
      </c>
      <c r="M119" s="485">
        <v>89</v>
      </c>
      <c r="N119" s="485">
        <v>170</v>
      </c>
      <c r="O119" s="486">
        <v>45344</v>
      </c>
      <c r="P119" s="486">
        <v>1</v>
      </c>
      <c r="Q119" s="486">
        <v>131</v>
      </c>
      <c r="R119" s="485">
        <v>0</v>
      </c>
      <c r="S119" s="486">
        <v>0</v>
      </c>
      <c r="T119" s="483">
        <f t="shared" si="10"/>
        <v>6675</v>
      </c>
      <c r="U119" s="484">
        <f t="shared" si="11"/>
        <v>6177</v>
      </c>
      <c r="V119" s="485">
        <v>3770</v>
      </c>
      <c r="W119" s="486">
        <v>2581</v>
      </c>
      <c r="X119" s="485">
        <v>462</v>
      </c>
      <c r="Y119" s="486">
        <v>180</v>
      </c>
      <c r="Z119" s="485">
        <v>2443</v>
      </c>
      <c r="AA119" s="485">
        <v>0</v>
      </c>
      <c r="AB119" s="485">
        <v>0</v>
      </c>
      <c r="AC119" s="486">
        <v>3416</v>
      </c>
      <c r="AD119" s="486">
        <v>0</v>
      </c>
      <c r="AE119" s="486">
        <v>0</v>
      </c>
      <c r="AF119" s="485">
        <v>0</v>
      </c>
      <c r="AG119" s="486">
        <v>0</v>
      </c>
    </row>
    <row r="120" spans="1:33">
      <c r="A120" s="493" t="s">
        <v>149</v>
      </c>
      <c r="B120" s="85" t="s">
        <v>165</v>
      </c>
      <c r="C120" s="494" t="s">
        <v>957</v>
      </c>
      <c r="D120" s="87" t="s">
        <v>166</v>
      </c>
      <c r="E120" s="88">
        <v>4</v>
      </c>
      <c r="F120" s="483">
        <f t="shared" si="8"/>
        <v>162144</v>
      </c>
      <c r="G120" s="484">
        <f t="shared" si="9"/>
        <v>0</v>
      </c>
      <c r="H120" s="485">
        <v>128807</v>
      </c>
      <c r="I120" s="486"/>
      <c r="J120" s="485">
        <v>7517</v>
      </c>
      <c r="K120" s="486"/>
      <c r="L120" s="485">
        <v>25820</v>
      </c>
      <c r="M120" s="485">
        <v>0</v>
      </c>
      <c r="N120" s="485">
        <v>0</v>
      </c>
      <c r="O120" s="486"/>
      <c r="P120" s="486"/>
      <c r="Q120" s="486"/>
      <c r="R120" s="485">
        <v>0</v>
      </c>
      <c r="S120" s="486"/>
      <c r="T120" s="483">
        <f t="shared" si="10"/>
        <v>15703</v>
      </c>
      <c r="U120" s="484">
        <f t="shared" si="11"/>
        <v>0</v>
      </c>
      <c r="V120" s="485">
        <v>12010</v>
      </c>
      <c r="W120" s="486"/>
      <c r="X120" s="485">
        <v>0</v>
      </c>
      <c r="Y120" s="486"/>
      <c r="Z120" s="485">
        <v>3693</v>
      </c>
      <c r="AA120" s="485">
        <v>0</v>
      </c>
      <c r="AB120" s="485">
        <v>0</v>
      </c>
      <c r="AC120" s="486"/>
      <c r="AD120" s="486"/>
      <c r="AE120" s="486"/>
      <c r="AF120" s="485">
        <v>0</v>
      </c>
      <c r="AG120" s="486"/>
    </row>
    <row r="121" spans="1:33">
      <c r="A121" s="493" t="s">
        <v>149</v>
      </c>
      <c r="B121" s="85" t="s">
        <v>958</v>
      </c>
      <c r="C121" s="494"/>
      <c r="D121" s="87" t="s">
        <v>175</v>
      </c>
      <c r="E121" s="88">
        <v>4</v>
      </c>
      <c r="F121" s="483">
        <f t="shared" si="8"/>
        <v>142097</v>
      </c>
      <c r="G121" s="484">
        <f t="shared" si="9"/>
        <v>146254</v>
      </c>
      <c r="H121" s="485">
        <v>121141</v>
      </c>
      <c r="I121" s="486">
        <v>123576</v>
      </c>
      <c r="J121" s="485">
        <v>2889</v>
      </c>
      <c r="K121" s="486">
        <v>2041</v>
      </c>
      <c r="L121" s="485">
        <v>18067</v>
      </c>
      <c r="M121" s="485">
        <v>0</v>
      </c>
      <c r="N121" s="485">
        <v>0</v>
      </c>
      <c r="O121" s="486">
        <v>20580</v>
      </c>
      <c r="P121" s="486">
        <v>0</v>
      </c>
      <c r="Q121" s="486">
        <v>57</v>
      </c>
      <c r="R121" s="485">
        <v>0</v>
      </c>
      <c r="S121" s="486">
        <v>0</v>
      </c>
      <c r="T121" s="483">
        <f t="shared" si="10"/>
        <v>190576</v>
      </c>
      <c r="U121" s="484">
        <f t="shared" si="11"/>
        <v>196894</v>
      </c>
      <c r="V121" s="485">
        <v>166283</v>
      </c>
      <c r="W121" s="486">
        <v>172323</v>
      </c>
      <c r="X121" s="485">
        <v>15075</v>
      </c>
      <c r="Y121" s="486">
        <v>13170</v>
      </c>
      <c r="Z121" s="485">
        <v>9218</v>
      </c>
      <c r="AA121" s="485">
        <v>0</v>
      </c>
      <c r="AB121" s="485">
        <v>0</v>
      </c>
      <c r="AC121" s="486">
        <v>11401</v>
      </c>
      <c r="AD121" s="486">
        <v>0</v>
      </c>
      <c r="AE121" s="486">
        <v>0</v>
      </c>
      <c r="AF121" s="485">
        <v>0</v>
      </c>
      <c r="AG121" s="486">
        <v>0</v>
      </c>
    </row>
    <row r="122" spans="1:33">
      <c r="A122" s="84" t="s">
        <v>149</v>
      </c>
      <c r="B122" s="89" t="s">
        <v>167</v>
      </c>
      <c r="C122" s="90"/>
      <c r="D122" s="87" t="s">
        <v>168</v>
      </c>
      <c r="E122" s="88">
        <v>4</v>
      </c>
      <c r="F122" s="483">
        <f t="shared" si="8"/>
        <v>155672</v>
      </c>
      <c r="G122" s="484">
        <f t="shared" si="9"/>
        <v>161028</v>
      </c>
      <c r="H122" s="485">
        <v>105092</v>
      </c>
      <c r="I122" s="486">
        <v>102775</v>
      </c>
      <c r="J122" s="485">
        <v>3064</v>
      </c>
      <c r="K122" s="486">
        <v>2764</v>
      </c>
      <c r="L122" s="485">
        <v>47516</v>
      </c>
      <c r="M122" s="485">
        <v>0</v>
      </c>
      <c r="N122" s="485">
        <v>0</v>
      </c>
      <c r="O122" s="486">
        <v>55489</v>
      </c>
      <c r="P122" s="486">
        <v>0</v>
      </c>
      <c r="Q122" s="486">
        <v>0</v>
      </c>
      <c r="R122" s="485">
        <v>0</v>
      </c>
      <c r="S122" s="486">
        <v>0</v>
      </c>
      <c r="T122" s="483">
        <f t="shared" si="10"/>
        <v>7862</v>
      </c>
      <c r="U122" s="484">
        <f t="shared" si="11"/>
        <v>7481</v>
      </c>
      <c r="V122" s="485">
        <v>5313</v>
      </c>
      <c r="W122" s="486">
        <v>4691</v>
      </c>
      <c r="X122" s="485">
        <v>471</v>
      </c>
      <c r="Y122" s="486">
        <v>264</v>
      </c>
      <c r="Z122" s="485">
        <v>2078</v>
      </c>
      <c r="AA122" s="485">
        <v>0</v>
      </c>
      <c r="AB122" s="485">
        <v>0</v>
      </c>
      <c r="AC122" s="486">
        <v>2526</v>
      </c>
      <c r="AD122" s="486">
        <v>0</v>
      </c>
      <c r="AE122" s="486">
        <v>0</v>
      </c>
      <c r="AF122" s="485">
        <v>0</v>
      </c>
      <c r="AG122" s="486">
        <v>0</v>
      </c>
    </row>
    <row r="123" spans="1:33">
      <c r="A123" s="84" t="s">
        <v>149</v>
      </c>
      <c r="B123" s="89" t="s">
        <v>169</v>
      </c>
      <c r="C123" s="494" t="s">
        <v>933</v>
      </c>
      <c r="D123" s="87" t="s">
        <v>170</v>
      </c>
      <c r="E123" s="88">
        <v>4</v>
      </c>
      <c r="F123" s="483">
        <f t="shared" si="8"/>
        <v>172675</v>
      </c>
      <c r="G123" s="484">
        <f t="shared" si="9"/>
        <v>172063</v>
      </c>
      <c r="H123" s="485">
        <v>131445</v>
      </c>
      <c r="I123" s="486">
        <v>128790</v>
      </c>
      <c r="J123" s="485">
        <v>6378</v>
      </c>
      <c r="K123" s="486">
        <v>5866</v>
      </c>
      <c r="L123" s="485">
        <v>34693</v>
      </c>
      <c r="M123" s="485">
        <v>159</v>
      </c>
      <c r="N123" s="485">
        <v>0</v>
      </c>
      <c r="O123" s="486">
        <v>37288</v>
      </c>
      <c r="P123" s="486">
        <v>119</v>
      </c>
      <c r="Q123" s="486">
        <v>0</v>
      </c>
      <c r="R123" s="485">
        <v>0</v>
      </c>
      <c r="S123" s="486">
        <v>0</v>
      </c>
      <c r="T123" s="483">
        <f t="shared" si="10"/>
        <v>30921</v>
      </c>
      <c r="U123" s="484">
        <f t="shared" si="11"/>
        <v>26828</v>
      </c>
      <c r="V123" s="485">
        <v>10113</v>
      </c>
      <c r="W123" s="486">
        <v>10147</v>
      </c>
      <c r="X123" s="485">
        <v>1639</v>
      </c>
      <c r="Y123" s="486">
        <v>704</v>
      </c>
      <c r="Z123" s="485">
        <v>19169</v>
      </c>
      <c r="AA123" s="485">
        <v>0</v>
      </c>
      <c r="AB123" s="485">
        <v>0</v>
      </c>
      <c r="AC123" s="486">
        <v>15977</v>
      </c>
      <c r="AD123" s="486">
        <v>0</v>
      </c>
      <c r="AE123" s="486">
        <v>0</v>
      </c>
      <c r="AF123" s="485">
        <v>0</v>
      </c>
      <c r="AG123" s="486">
        <v>0</v>
      </c>
    </row>
    <row r="124" spans="1:33">
      <c r="A124" s="84" t="s">
        <v>149</v>
      </c>
      <c r="B124" s="89" t="s">
        <v>171</v>
      </c>
      <c r="C124" s="494" t="s">
        <v>959</v>
      </c>
      <c r="D124" s="87" t="s">
        <v>172</v>
      </c>
      <c r="E124" s="88">
        <v>4</v>
      </c>
      <c r="F124" s="483">
        <f t="shared" si="8"/>
        <v>65044</v>
      </c>
      <c r="G124" s="484">
        <f t="shared" si="9"/>
        <v>69971</v>
      </c>
      <c r="H124" s="485">
        <v>54073</v>
      </c>
      <c r="I124" s="486">
        <v>56852</v>
      </c>
      <c r="J124" s="485">
        <v>54</v>
      </c>
      <c r="K124" s="486">
        <v>135</v>
      </c>
      <c r="L124" s="485">
        <v>10038</v>
      </c>
      <c r="M124" s="485">
        <v>0</v>
      </c>
      <c r="N124" s="485">
        <v>879</v>
      </c>
      <c r="O124" s="486">
        <v>11880</v>
      </c>
      <c r="P124" s="486">
        <v>0</v>
      </c>
      <c r="Q124" s="486">
        <v>1104</v>
      </c>
      <c r="R124" s="485">
        <v>0</v>
      </c>
      <c r="S124" s="486">
        <v>0</v>
      </c>
      <c r="T124" s="483">
        <f t="shared" si="10"/>
        <v>6801</v>
      </c>
      <c r="U124" s="484">
        <f t="shared" si="11"/>
        <v>6865</v>
      </c>
      <c r="V124" s="485">
        <v>5456</v>
      </c>
      <c r="W124" s="486">
        <v>5813</v>
      </c>
      <c r="X124" s="485">
        <v>0</v>
      </c>
      <c r="Y124" s="486">
        <v>0</v>
      </c>
      <c r="Z124" s="485">
        <v>1306</v>
      </c>
      <c r="AA124" s="485">
        <v>0</v>
      </c>
      <c r="AB124" s="485">
        <v>39</v>
      </c>
      <c r="AC124" s="486">
        <v>992</v>
      </c>
      <c r="AD124" s="486">
        <v>0</v>
      </c>
      <c r="AE124" s="486">
        <v>60</v>
      </c>
      <c r="AF124" s="485">
        <v>0</v>
      </c>
      <c r="AG124" s="486">
        <v>0</v>
      </c>
    </row>
    <row r="125" spans="1:33">
      <c r="A125" s="84" t="s">
        <v>149</v>
      </c>
      <c r="B125" s="89" t="s">
        <v>173</v>
      </c>
      <c r="C125" s="86"/>
      <c r="D125" s="87" t="s">
        <v>174</v>
      </c>
      <c r="E125" s="88">
        <v>4</v>
      </c>
      <c r="F125" s="483">
        <f t="shared" si="8"/>
        <v>178258.5</v>
      </c>
      <c r="G125" s="484">
        <f t="shared" si="9"/>
        <v>177821.5</v>
      </c>
      <c r="H125" s="485">
        <v>162182</v>
      </c>
      <c r="I125" s="486">
        <v>159725.5</v>
      </c>
      <c r="J125" s="485">
        <v>1870.5</v>
      </c>
      <c r="K125" s="486">
        <v>2739</v>
      </c>
      <c r="L125" s="485">
        <v>14206</v>
      </c>
      <c r="M125" s="485">
        <v>0</v>
      </c>
      <c r="N125" s="485">
        <v>0</v>
      </c>
      <c r="O125" s="486">
        <v>15357</v>
      </c>
      <c r="P125" s="486">
        <v>0</v>
      </c>
      <c r="Q125" s="486">
        <v>0</v>
      </c>
      <c r="R125" s="485">
        <v>0</v>
      </c>
      <c r="S125" s="486">
        <v>0</v>
      </c>
      <c r="T125" s="483">
        <f t="shared" si="10"/>
        <v>19642</v>
      </c>
      <c r="U125" s="484">
        <f t="shared" si="11"/>
        <v>20696.5</v>
      </c>
      <c r="V125" s="485">
        <v>3996</v>
      </c>
      <c r="W125" s="486">
        <v>3353.5</v>
      </c>
      <c r="X125" s="485">
        <v>1226</v>
      </c>
      <c r="Y125" s="486">
        <v>574</v>
      </c>
      <c r="Z125" s="485">
        <v>14420</v>
      </c>
      <c r="AA125" s="485">
        <v>0</v>
      </c>
      <c r="AB125" s="485">
        <v>0</v>
      </c>
      <c r="AC125" s="486">
        <v>16769</v>
      </c>
      <c r="AD125" s="486">
        <v>0</v>
      </c>
      <c r="AE125" s="486">
        <v>0</v>
      </c>
      <c r="AF125" s="485">
        <v>0</v>
      </c>
      <c r="AG125" s="486">
        <v>0</v>
      </c>
    </row>
    <row r="126" spans="1:33">
      <c r="A126" s="84" t="s">
        <v>149</v>
      </c>
      <c r="B126" s="89" t="s">
        <v>177</v>
      </c>
      <c r="C126" s="90"/>
      <c r="D126" s="87" t="s">
        <v>178</v>
      </c>
      <c r="E126" s="88">
        <v>4</v>
      </c>
      <c r="F126" s="483">
        <f t="shared" si="8"/>
        <v>65656</v>
      </c>
      <c r="G126" s="484">
        <f t="shared" si="9"/>
        <v>64680</v>
      </c>
      <c r="H126" s="485">
        <v>43905</v>
      </c>
      <c r="I126" s="486">
        <v>41870</v>
      </c>
      <c r="J126" s="485">
        <v>1454</v>
      </c>
      <c r="K126" s="486">
        <v>1750</v>
      </c>
      <c r="L126" s="485">
        <v>20297</v>
      </c>
      <c r="M126" s="485">
        <v>0</v>
      </c>
      <c r="N126" s="485">
        <v>0</v>
      </c>
      <c r="O126" s="486">
        <v>21060</v>
      </c>
      <c r="P126" s="486">
        <v>0</v>
      </c>
      <c r="Q126" s="486">
        <v>0</v>
      </c>
      <c r="R126" s="485">
        <v>0</v>
      </c>
      <c r="S126" s="486">
        <v>0</v>
      </c>
      <c r="T126" s="483">
        <f t="shared" si="10"/>
        <v>10210</v>
      </c>
      <c r="U126" s="484">
        <f t="shared" si="11"/>
        <v>10339</v>
      </c>
      <c r="V126" s="485">
        <v>4055</v>
      </c>
      <c r="W126" s="486">
        <v>4405</v>
      </c>
      <c r="X126" s="485">
        <v>0</v>
      </c>
      <c r="Y126" s="486">
        <v>714</v>
      </c>
      <c r="Z126" s="485">
        <v>6155</v>
      </c>
      <c r="AA126" s="485">
        <v>0</v>
      </c>
      <c r="AB126" s="485">
        <v>0</v>
      </c>
      <c r="AC126" s="486">
        <v>5220</v>
      </c>
      <c r="AD126" s="486">
        <v>0</v>
      </c>
      <c r="AE126" s="486">
        <v>0</v>
      </c>
      <c r="AF126" s="485">
        <v>0</v>
      </c>
      <c r="AG126" s="486">
        <v>0</v>
      </c>
    </row>
    <row r="127" spans="1:33">
      <c r="A127" s="84" t="s">
        <v>149</v>
      </c>
      <c r="B127" s="89" t="s">
        <v>176</v>
      </c>
      <c r="C127" s="86"/>
      <c r="D127" s="91">
        <v>482680</v>
      </c>
      <c r="E127" s="88">
        <v>4</v>
      </c>
      <c r="F127" s="483">
        <f t="shared" si="8"/>
        <v>443780</v>
      </c>
      <c r="G127" s="484">
        <f t="shared" si="9"/>
        <v>458686</v>
      </c>
      <c r="H127" s="485">
        <v>390533</v>
      </c>
      <c r="I127" s="486">
        <v>393591</v>
      </c>
      <c r="J127" s="485">
        <v>3986</v>
      </c>
      <c r="K127" s="486">
        <v>5524</v>
      </c>
      <c r="L127" s="485">
        <v>49261</v>
      </c>
      <c r="M127" s="485">
        <v>0</v>
      </c>
      <c r="N127" s="485">
        <v>0</v>
      </c>
      <c r="O127" s="486">
        <v>59571</v>
      </c>
      <c r="P127" s="486">
        <v>0</v>
      </c>
      <c r="Q127" s="486">
        <v>0</v>
      </c>
      <c r="R127" s="485">
        <v>0</v>
      </c>
      <c r="S127" s="486">
        <v>0</v>
      </c>
      <c r="T127" s="483">
        <f t="shared" si="10"/>
        <v>12091</v>
      </c>
      <c r="U127" s="484">
        <f t="shared" si="11"/>
        <v>14308</v>
      </c>
      <c r="V127" s="485">
        <v>7143</v>
      </c>
      <c r="W127" s="486">
        <v>8495</v>
      </c>
      <c r="X127" s="485">
        <v>1095</v>
      </c>
      <c r="Y127" s="486">
        <v>1133</v>
      </c>
      <c r="Z127" s="485">
        <v>3853</v>
      </c>
      <c r="AA127" s="485">
        <v>0</v>
      </c>
      <c r="AB127" s="485">
        <v>0</v>
      </c>
      <c r="AC127" s="486">
        <v>4680</v>
      </c>
      <c r="AD127" s="486">
        <v>0</v>
      </c>
      <c r="AE127" s="486">
        <v>0</v>
      </c>
      <c r="AF127" s="485">
        <v>0</v>
      </c>
      <c r="AG127" s="486">
        <v>0</v>
      </c>
    </row>
    <row r="128" spans="1:33">
      <c r="A128" s="84" t="s">
        <v>149</v>
      </c>
      <c r="B128" s="89" t="s">
        <v>179</v>
      </c>
      <c r="C128" s="86"/>
      <c r="D128" s="87" t="s">
        <v>180</v>
      </c>
      <c r="E128" s="88">
        <v>5</v>
      </c>
      <c r="F128" s="483">
        <f t="shared" si="8"/>
        <v>123043</v>
      </c>
      <c r="G128" s="484">
        <f t="shared" si="9"/>
        <v>117463</v>
      </c>
      <c r="H128" s="485">
        <v>111139</v>
      </c>
      <c r="I128" s="486">
        <v>100202</v>
      </c>
      <c r="J128" s="485">
        <v>596</v>
      </c>
      <c r="K128" s="486">
        <v>273</v>
      </c>
      <c r="L128" s="485">
        <v>11308</v>
      </c>
      <c r="M128" s="485">
        <v>0</v>
      </c>
      <c r="N128" s="485">
        <v>0</v>
      </c>
      <c r="O128" s="486">
        <v>16988</v>
      </c>
      <c r="P128" s="486">
        <v>0</v>
      </c>
      <c r="Q128" s="486">
        <v>0</v>
      </c>
      <c r="R128" s="485">
        <v>0</v>
      </c>
      <c r="S128" s="486">
        <v>0</v>
      </c>
      <c r="T128" s="483">
        <f t="shared" si="10"/>
        <v>4030</v>
      </c>
      <c r="U128" s="484">
        <f t="shared" si="11"/>
        <v>3734</v>
      </c>
      <c r="V128" s="485">
        <v>1930</v>
      </c>
      <c r="W128" s="486">
        <v>1577</v>
      </c>
      <c r="X128" s="485">
        <v>1200</v>
      </c>
      <c r="Y128" s="486">
        <v>1320</v>
      </c>
      <c r="Z128" s="485">
        <v>900</v>
      </c>
      <c r="AA128" s="485">
        <v>0</v>
      </c>
      <c r="AB128" s="485">
        <v>0</v>
      </c>
      <c r="AC128" s="486">
        <v>837</v>
      </c>
      <c r="AD128" s="486">
        <v>0</v>
      </c>
      <c r="AE128" s="486">
        <v>0</v>
      </c>
      <c r="AF128" s="485">
        <v>0</v>
      </c>
      <c r="AG128" s="486">
        <v>0</v>
      </c>
    </row>
    <row r="129" spans="1:33">
      <c r="A129" s="84" t="s">
        <v>149</v>
      </c>
      <c r="B129" s="89" t="s">
        <v>181</v>
      </c>
      <c r="C129" s="90"/>
      <c r="D129" s="87" t="s">
        <v>182</v>
      </c>
      <c r="E129" s="495">
        <v>6</v>
      </c>
      <c r="F129" s="483">
        <f t="shared" si="8"/>
        <v>84607</v>
      </c>
      <c r="G129" s="484">
        <f t="shared" si="9"/>
        <v>83776</v>
      </c>
      <c r="H129" s="485">
        <v>65858</v>
      </c>
      <c r="I129" s="486">
        <v>60799</v>
      </c>
      <c r="J129" s="485">
        <v>959</v>
      </c>
      <c r="K129" s="486">
        <v>464</v>
      </c>
      <c r="L129" s="485">
        <v>17790</v>
      </c>
      <c r="M129" s="485">
        <v>0</v>
      </c>
      <c r="N129" s="485">
        <v>0</v>
      </c>
      <c r="O129" s="486">
        <v>22513</v>
      </c>
      <c r="P129" s="486">
        <v>0</v>
      </c>
      <c r="Q129" s="486">
        <v>0</v>
      </c>
      <c r="R129" s="485">
        <v>0</v>
      </c>
      <c r="S129" s="486">
        <v>0</v>
      </c>
      <c r="T129" s="483">
        <f t="shared" si="10"/>
        <v>0</v>
      </c>
      <c r="U129" s="484">
        <f t="shared" si="11"/>
        <v>0</v>
      </c>
      <c r="V129" s="485"/>
      <c r="W129" s="486"/>
      <c r="X129" s="485"/>
      <c r="Y129" s="486"/>
      <c r="Z129" s="485"/>
      <c r="AA129" s="485"/>
      <c r="AB129" s="485"/>
      <c r="AC129" s="486"/>
      <c r="AD129" s="486"/>
      <c r="AE129" s="486"/>
      <c r="AF129" s="485"/>
      <c r="AG129" s="486"/>
    </row>
    <row r="130" spans="1:33">
      <c r="A130" s="84" t="s">
        <v>149</v>
      </c>
      <c r="B130" s="89" t="s">
        <v>183</v>
      </c>
      <c r="C130" s="90"/>
      <c r="D130" s="87" t="s">
        <v>184</v>
      </c>
      <c r="E130" s="88">
        <v>6</v>
      </c>
      <c r="F130" s="483">
        <f t="shared" si="8"/>
        <v>120102</v>
      </c>
      <c r="G130" s="484">
        <f t="shared" si="9"/>
        <v>121843</v>
      </c>
      <c r="H130" s="485">
        <v>103988</v>
      </c>
      <c r="I130" s="486">
        <v>99398</v>
      </c>
      <c r="J130" s="485">
        <v>4716</v>
      </c>
      <c r="K130" s="486">
        <v>6619</v>
      </c>
      <c r="L130" s="485">
        <v>11398</v>
      </c>
      <c r="M130" s="485">
        <v>0</v>
      </c>
      <c r="N130" s="485">
        <v>0</v>
      </c>
      <c r="O130" s="486">
        <v>15826</v>
      </c>
      <c r="P130" s="486">
        <v>0</v>
      </c>
      <c r="Q130" s="486">
        <v>0</v>
      </c>
      <c r="R130" s="485">
        <v>0</v>
      </c>
      <c r="S130" s="486">
        <v>0</v>
      </c>
      <c r="T130" s="483">
        <f t="shared" si="10"/>
        <v>0</v>
      </c>
      <c r="U130" s="484">
        <f t="shared" si="11"/>
        <v>0</v>
      </c>
      <c r="V130" s="485"/>
      <c r="W130" s="486"/>
      <c r="X130" s="485"/>
      <c r="Y130" s="486"/>
      <c r="Z130" s="485"/>
      <c r="AA130" s="485"/>
      <c r="AB130" s="485"/>
      <c r="AC130" s="486"/>
      <c r="AD130" s="486"/>
      <c r="AE130" s="486"/>
      <c r="AF130" s="485"/>
      <c r="AG130" s="486"/>
    </row>
    <row r="131" spans="1:33">
      <c r="A131" s="84" t="s">
        <v>149</v>
      </c>
      <c r="B131" s="89" t="s">
        <v>185</v>
      </c>
      <c r="C131" s="90"/>
      <c r="D131" s="87" t="s">
        <v>186</v>
      </c>
      <c r="E131" s="88">
        <v>6</v>
      </c>
      <c r="F131" s="483">
        <f t="shared" si="8"/>
        <v>297820</v>
      </c>
      <c r="G131" s="484">
        <f t="shared" si="9"/>
        <v>306863</v>
      </c>
      <c r="H131" s="485">
        <v>292570</v>
      </c>
      <c r="I131" s="486">
        <v>299433</v>
      </c>
      <c r="J131" s="485">
        <v>165</v>
      </c>
      <c r="K131" s="486">
        <v>209</v>
      </c>
      <c r="L131" s="485">
        <v>5085</v>
      </c>
      <c r="M131" s="485">
        <v>0</v>
      </c>
      <c r="N131" s="485">
        <v>0</v>
      </c>
      <c r="O131" s="486">
        <v>7221</v>
      </c>
      <c r="P131" s="486">
        <v>0</v>
      </c>
      <c r="Q131" s="486">
        <v>0</v>
      </c>
      <c r="R131" s="485">
        <v>0</v>
      </c>
      <c r="S131" s="486">
        <v>0</v>
      </c>
      <c r="T131" s="483">
        <f t="shared" si="10"/>
        <v>0</v>
      </c>
      <c r="U131" s="484">
        <f t="shared" si="11"/>
        <v>0</v>
      </c>
      <c r="V131" s="485"/>
      <c r="W131" s="486"/>
      <c r="X131" s="485"/>
      <c r="Y131" s="486"/>
      <c r="Z131" s="485"/>
      <c r="AA131" s="485"/>
      <c r="AB131" s="485"/>
      <c r="AC131" s="486"/>
      <c r="AD131" s="486"/>
      <c r="AE131" s="486"/>
      <c r="AF131" s="485"/>
      <c r="AG131" s="486"/>
    </row>
    <row r="132" spans="1:33">
      <c r="A132" s="84" t="s">
        <v>149</v>
      </c>
      <c r="B132" s="89" t="s">
        <v>187</v>
      </c>
      <c r="C132" s="494" t="s">
        <v>959</v>
      </c>
      <c r="D132" s="91">
        <v>482158</v>
      </c>
      <c r="E132" s="88">
        <v>6</v>
      </c>
      <c r="F132" s="483">
        <f t="shared" si="8"/>
        <v>174380</v>
      </c>
      <c r="G132" s="484">
        <f t="shared" si="9"/>
        <v>180637</v>
      </c>
      <c r="H132" s="485">
        <v>113621</v>
      </c>
      <c r="I132" s="486">
        <v>110070</v>
      </c>
      <c r="J132" s="485">
        <v>1410</v>
      </c>
      <c r="K132" s="486">
        <v>1324</v>
      </c>
      <c r="L132" s="485">
        <v>56883</v>
      </c>
      <c r="M132" s="485">
        <v>2466</v>
      </c>
      <c r="N132" s="485">
        <v>0</v>
      </c>
      <c r="O132" s="486">
        <v>67916</v>
      </c>
      <c r="P132" s="486">
        <v>1327</v>
      </c>
      <c r="Q132" s="486">
        <v>0</v>
      </c>
      <c r="R132" s="485">
        <v>0</v>
      </c>
      <c r="S132" s="486">
        <v>0</v>
      </c>
      <c r="T132" s="483">
        <f t="shared" si="10"/>
        <v>1871</v>
      </c>
      <c r="U132" s="484">
        <f t="shared" si="11"/>
        <v>3639</v>
      </c>
      <c r="V132" s="485">
        <v>108</v>
      </c>
      <c r="W132" s="486">
        <v>345</v>
      </c>
      <c r="X132" s="485">
        <v>0</v>
      </c>
      <c r="Y132" s="486">
        <v>84</v>
      </c>
      <c r="Z132" s="485">
        <v>1763</v>
      </c>
      <c r="AA132" s="485">
        <v>0</v>
      </c>
      <c r="AB132" s="485">
        <v>0</v>
      </c>
      <c r="AC132" s="486">
        <v>3210</v>
      </c>
      <c r="AD132" s="486">
        <v>0</v>
      </c>
      <c r="AE132" s="486">
        <v>0</v>
      </c>
      <c r="AF132" s="485">
        <v>0</v>
      </c>
      <c r="AG132" s="486">
        <v>0</v>
      </c>
    </row>
    <row r="133" spans="1:33">
      <c r="A133" s="84" t="s">
        <v>149</v>
      </c>
      <c r="B133" s="89" t="s">
        <v>188</v>
      </c>
      <c r="C133" s="86" t="s">
        <v>960</v>
      </c>
      <c r="D133" s="87" t="s">
        <v>189</v>
      </c>
      <c r="E133" s="495">
        <v>7</v>
      </c>
      <c r="F133" s="483">
        <f t="shared" si="8"/>
        <v>84988</v>
      </c>
      <c r="G133" s="484">
        <f t="shared" si="9"/>
        <v>111796</v>
      </c>
      <c r="H133" s="485">
        <v>78877</v>
      </c>
      <c r="I133" s="486">
        <v>89100</v>
      </c>
      <c r="J133" s="485">
        <v>2857</v>
      </c>
      <c r="K133" s="486">
        <v>6909</v>
      </c>
      <c r="L133" s="485">
        <v>3254</v>
      </c>
      <c r="M133" s="485">
        <v>0</v>
      </c>
      <c r="N133" s="485">
        <v>0</v>
      </c>
      <c r="O133" s="486">
        <v>15787</v>
      </c>
      <c r="P133" s="486">
        <v>0</v>
      </c>
      <c r="Q133" s="486">
        <v>0</v>
      </c>
      <c r="R133" s="485">
        <v>0</v>
      </c>
      <c r="S133" s="486">
        <v>0</v>
      </c>
      <c r="T133" s="483">
        <f t="shared" si="10"/>
        <v>0</v>
      </c>
      <c r="U133" s="484">
        <f t="shared" si="11"/>
        <v>0</v>
      </c>
      <c r="V133" s="485"/>
      <c r="W133" s="486"/>
      <c r="X133" s="485"/>
      <c r="Y133" s="486"/>
      <c r="Z133" s="485"/>
      <c r="AA133" s="485"/>
      <c r="AB133" s="485"/>
      <c r="AC133" s="486"/>
      <c r="AD133" s="486"/>
      <c r="AE133" s="486"/>
      <c r="AF133" s="485"/>
      <c r="AG133" s="486"/>
    </row>
    <row r="134" spans="1:33">
      <c r="A134" s="84" t="s">
        <v>149</v>
      </c>
      <c r="B134" s="89" t="s">
        <v>190</v>
      </c>
      <c r="C134" s="90"/>
      <c r="D134" s="87" t="s">
        <v>191</v>
      </c>
      <c r="E134" s="495">
        <v>7</v>
      </c>
      <c r="F134" s="483">
        <f t="shared" si="8"/>
        <v>58398</v>
      </c>
      <c r="G134" s="484">
        <f t="shared" si="9"/>
        <v>51417</v>
      </c>
      <c r="H134" s="485">
        <v>42881</v>
      </c>
      <c r="I134" s="486">
        <v>36668</v>
      </c>
      <c r="J134" s="485">
        <v>306</v>
      </c>
      <c r="K134" s="486">
        <v>1352</v>
      </c>
      <c r="L134" s="485">
        <v>15211</v>
      </c>
      <c r="M134" s="485">
        <v>0</v>
      </c>
      <c r="N134" s="485">
        <v>0</v>
      </c>
      <c r="O134" s="486">
        <v>13397</v>
      </c>
      <c r="P134" s="486">
        <v>0</v>
      </c>
      <c r="Q134" s="486">
        <v>0</v>
      </c>
      <c r="R134" s="485">
        <v>0</v>
      </c>
      <c r="S134" s="486">
        <v>0</v>
      </c>
      <c r="T134" s="483">
        <f t="shared" si="10"/>
        <v>0</v>
      </c>
      <c r="U134" s="484">
        <f t="shared" si="11"/>
        <v>0</v>
      </c>
      <c r="V134" s="485"/>
      <c r="W134" s="486"/>
      <c r="X134" s="485"/>
      <c r="Y134" s="486"/>
      <c r="Z134" s="485"/>
      <c r="AA134" s="485"/>
      <c r="AB134" s="485"/>
      <c r="AC134" s="486"/>
      <c r="AD134" s="486"/>
      <c r="AE134" s="486"/>
      <c r="AF134" s="485"/>
      <c r="AG134" s="486"/>
    </row>
    <row r="135" spans="1:33">
      <c r="A135" s="493" t="s">
        <v>149</v>
      </c>
      <c r="B135" s="496" t="s">
        <v>192</v>
      </c>
      <c r="C135" s="494" t="s">
        <v>961</v>
      </c>
      <c r="D135" s="87" t="s">
        <v>193</v>
      </c>
      <c r="E135" s="495">
        <v>7</v>
      </c>
      <c r="F135" s="483">
        <f t="shared" si="8"/>
        <v>0</v>
      </c>
      <c r="G135" s="484">
        <f t="shared" si="9"/>
        <v>0</v>
      </c>
      <c r="H135" s="485"/>
      <c r="I135" s="486"/>
      <c r="J135" s="485"/>
      <c r="K135" s="486"/>
      <c r="L135" s="485"/>
      <c r="M135" s="485"/>
      <c r="N135" s="485"/>
      <c r="O135" s="486"/>
      <c r="P135" s="486"/>
      <c r="Q135" s="486"/>
      <c r="R135" s="485"/>
      <c r="S135" s="486"/>
      <c r="T135" s="483">
        <f t="shared" si="10"/>
        <v>0</v>
      </c>
      <c r="U135" s="484">
        <f t="shared" si="11"/>
        <v>0</v>
      </c>
      <c r="V135" s="485"/>
      <c r="W135" s="486"/>
      <c r="X135" s="485"/>
      <c r="Y135" s="486"/>
      <c r="Z135" s="485"/>
      <c r="AA135" s="485"/>
      <c r="AB135" s="485"/>
      <c r="AC135" s="486"/>
      <c r="AD135" s="486"/>
      <c r="AE135" s="486"/>
      <c r="AF135" s="485"/>
      <c r="AG135" s="486"/>
    </row>
    <row r="136" spans="1:33">
      <c r="A136" s="84" t="s">
        <v>149</v>
      </c>
      <c r="B136" s="89" t="s">
        <v>194</v>
      </c>
      <c r="C136" s="90"/>
      <c r="D136" s="87" t="s">
        <v>195</v>
      </c>
      <c r="E136" s="495">
        <v>7</v>
      </c>
      <c r="F136" s="483">
        <f t="shared" si="8"/>
        <v>70657</v>
      </c>
      <c r="G136" s="484">
        <f t="shared" si="9"/>
        <v>68856</v>
      </c>
      <c r="H136" s="485">
        <v>40891</v>
      </c>
      <c r="I136" s="486">
        <v>35717</v>
      </c>
      <c r="J136" s="485">
        <v>13031</v>
      </c>
      <c r="K136" s="486">
        <v>12088</v>
      </c>
      <c r="L136" s="485">
        <v>10481</v>
      </c>
      <c r="M136" s="485">
        <v>0</v>
      </c>
      <c r="N136" s="485">
        <v>6254</v>
      </c>
      <c r="O136" s="486">
        <v>21051</v>
      </c>
      <c r="P136" s="486">
        <v>0</v>
      </c>
      <c r="Q136" s="486">
        <v>0</v>
      </c>
      <c r="R136" s="485">
        <v>0</v>
      </c>
      <c r="S136" s="486">
        <v>0</v>
      </c>
      <c r="T136" s="483">
        <f t="shared" si="10"/>
        <v>0</v>
      </c>
      <c r="U136" s="484">
        <f t="shared" si="11"/>
        <v>0</v>
      </c>
      <c r="V136" s="485"/>
      <c r="W136" s="486"/>
      <c r="X136" s="485"/>
      <c r="Y136" s="486"/>
      <c r="Z136" s="485"/>
      <c r="AA136" s="485"/>
      <c r="AB136" s="485"/>
      <c r="AC136" s="486"/>
      <c r="AD136" s="486"/>
      <c r="AE136" s="486"/>
      <c r="AF136" s="485"/>
      <c r="AG136" s="486"/>
    </row>
    <row r="137" spans="1:33">
      <c r="A137" s="84" t="s">
        <v>149</v>
      </c>
      <c r="B137" s="89" t="s">
        <v>196</v>
      </c>
      <c r="C137" s="90"/>
      <c r="D137" s="87" t="s">
        <v>197</v>
      </c>
      <c r="E137" s="495">
        <v>7</v>
      </c>
      <c r="F137" s="483">
        <f t="shared" si="8"/>
        <v>130593</v>
      </c>
      <c r="G137" s="484">
        <f t="shared" si="9"/>
        <v>134665</v>
      </c>
      <c r="H137" s="485">
        <v>77877</v>
      </c>
      <c r="I137" s="486">
        <v>77725</v>
      </c>
      <c r="J137" s="485">
        <v>20578</v>
      </c>
      <c r="K137" s="486">
        <v>19951</v>
      </c>
      <c r="L137" s="485">
        <v>32138</v>
      </c>
      <c r="M137" s="485">
        <v>0</v>
      </c>
      <c r="N137" s="485">
        <v>0</v>
      </c>
      <c r="O137" s="486">
        <v>36989</v>
      </c>
      <c r="P137" s="486">
        <v>0</v>
      </c>
      <c r="Q137" s="486">
        <v>0</v>
      </c>
      <c r="R137" s="485">
        <v>0</v>
      </c>
      <c r="S137" s="486">
        <v>0</v>
      </c>
      <c r="T137" s="483">
        <f t="shared" si="10"/>
        <v>0</v>
      </c>
      <c r="U137" s="484">
        <f t="shared" si="11"/>
        <v>0</v>
      </c>
      <c r="V137" s="485"/>
      <c r="W137" s="486"/>
      <c r="X137" s="485"/>
      <c r="Y137" s="486"/>
      <c r="Z137" s="485"/>
      <c r="AA137" s="485"/>
      <c r="AB137" s="485"/>
      <c r="AC137" s="486"/>
      <c r="AD137" s="486"/>
      <c r="AE137" s="486"/>
      <c r="AF137" s="485"/>
      <c r="AG137" s="486"/>
    </row>
    <row r="138" spans="1:33">
      <c r="A138" s="84" t="s">
        <v>149</v>
      </c>
      <c r="B138" s="89" t="s">
        <v>198</v>
      </c>
      <c r="C138" s="86" t="s">
        <v>960</v>
      </c>
      <c r="D138" s="87" t="s">
        <v>199</v>
      </c>
      <c r="E138" s="495">
        <v>7</v>
      </c>
      <c r="F138" s="483">
        <f t="shared" si="8"/>
        <v>91272</v>
      </c>
      <c r="G138" s="484">
        <f t="shared" si="9"/>
        <v>89080</v>
      </c>
      <c r="H138" s="485">
        <v>68474</v>
      </c>
      <c r="I138" s="486">
        <v>65209</v>
      </c>
      <c r="J138" s="485">
        <v>5759</v>
      </c>
      <c r="K138" s="486">
        <v>6718</v>
      </c>
      <c r="L138" s="485">
        <v>17039</v>
      </c>
      <c r="M138" s="485">
        <v>0</v>
      </c>
      <c r="N138" s="485">
        <v>0</v>
      </c>
      <c r="O138" s="486">
        <v>17153</v>
      </c>
      <c r="P138" s="486">
        <v>0</v>
      </c>
      <c r="Q138" s="486">
        <v>0</v>
      </c>
      <c r="R138" s="485">
        <v>0</v>
      </c>
      <c r="S138" s="486">
        <v>0</v>
      </c>
      <c r="T138" s="483">
        <f t="shared" si="10"/>
        <v>0</v>
      </c>
      <c r="U138" s="484">
        <f t="shared" si="11"/>
        <v>0</v>
      </c>
      <c r="V138" s="485"/>
      <c r="W138" s="486"/>
      <c r="X138" s="485"/>
      <c r="Y138" s="486"/>
      <c r="Z138" s="485"/>
      <c r="AA138" s="485"/>
      <c r="AB138" s="485"/>
      <c r="AC138" s="486"/>
      <c r="AD138" s="486"/>
      <c r="AE138" s="486"/>
      <c r="AF138" s="485"/>
      <c r="AG138" s="486"/>
    </row>
    <row r="139" spans="1:33">
      <c r="A139" s="84" t="s">
        <v>149</v>
      </c>
      <c r="B139" s="89" t="s">
        <v>200</v>
      </c>
      <c r="C139" s="90"/>
      <c r="D139" s="91">
        <v>482699</v>
      </c>
      <c r="E139" s="495">
        <v>7</v>
      </c>
      <c r="F139" s="483">
        <f t="shared" si="8"/>
        <v>62094</v>
      </c>
      <c r="G139" s="484">
        <f t="shared" si="9"/>
        <v>61747</v>
      </c>
      <c r="H139" s="485">
        <v>24171</v>
      </c>
      <c r="I139" s="486">
        <v>21466</v>
      </c>
      <c r="J139" s="485">
        <v>26275</v>
      </c>
      <c r="K139" s="486">
        <v>23010</v>
      </c>
      <c r="L139" s="485">
        <v>11648</v>
      </c>
      <c r="M139" s="485"/>
      <c r="N139" s="485"/>
      <c r="O139" s="486">
        <v>17271</v>
      </c>
      <c r="P139" s="486">
        <v>0</v>
      </c>
      <c r="Q139" s="486">
        <v>0</v>
      </c>
      <c r="R139" s="485"/>
      <c r="S139" s="486">
        <v>0</v>
      </c>
      <c r="T139" s="483">
        <f t="shared" si="10"/>
        <v>0</v>
      </c>
      <c r="U139" s="484">
        <f t="shared" si="11"/>
        <v>0</v>
      </c>
      <c r="V139" s="485"/>
      <c r="W139" s="486"/>
      <c r="X139" s="485"/>
      <c r="Y139" s="486"/>
      <c r="Z139" s="485"/>
      <c r="AA139" s="485"/>
      <c r="AB139" s="485"/>
      <c r="AC139" s="486"/>
      <c r="AD139" s="486"/>
      <c r="AE139" s="486"/>
      <c r="AF139" s="485"/>
      <c r="AG139" s="486"/>
    </row>
    <row r="140" spans="1:33">
      <c r="A140" s="493" t="s">
        <v>149</v>
      </c>
      <c r="B140" s="497" t="s">
        <v>962</v>
      </c>
      <c r="C140" s="494" t="s">
        <v>963</v>
      </c>
      <c r="D140" s="87" t="s">
        <v>201</v>
      </c>
      <c r="E140" s="495">
        <v>8</v>
      </c>
      <c r="F140" s="483">
        <f t="shared" si="8"/>
        <v>0</v>
      </c>
      <c r="G140" s="484">
        <f t="shared" si="9"/>
        <v>0</v>
      </c>
      <c r="H140" s="485"/>
      <c r="I140" s="486"/>
      <c r="J140" s="485"/>
      <c r="K140" s="486"/>
      <c r="L140" s="485"/>
      <c r="M140" s="485">
        <v>0</v>
      </c>
      <c r="N140" s="485">
        <v>0</v>
      </c>
      <c r="O140" s="486"/>
      <c r="P140" s="486"/>
      <c r="Q140" s="486"/>
      <c r="R140" s="485">
        <v>0</v>
      </c>
      <c r="S140" s="486"/>
      <c r="T140" s="483">
        <f t="shared" si="10"/>
        <v>0</v>
      </c>
      <c r="U140" s="484">
        <f t="shared" si="11"/>
        <v>0</v>
      </c>
      <c r="V140" s="485"/>
      <c r="W140" s="486"/>
      <c r="X140" s="485"/>
      <c r="Y140" s="486"/>
      <c r="Z140" s="485"/>
      <c r="AA140" s="485"/>
      <c r="AB140" s="485"/>
      <c r="AC140" s="486"/>
      <c r="AD140" s="486"/>
      <c r="AE140" s="486"/>
      <c r="AF140" s="485"/>
      <c r="AG140" s="486"/>
    </row>
    <row r="141" spans="1:33">
      <c r="A141" s="493" t="s">
        <v>149</v>
      </c>
      <c r="B141" s="497" t="s">
        <v>202</v>
      </c>
      <c r="C141" s="494" t="s">
        <v>964</v>
      </c>
      <c r="D141" s="87" t="s">
        <v>203</v>
      </c>
      <c r="E141" s="495">
        <v>10</v>
      </c>
      <c r="F141" s="483">
        <f t="shared" si="8"/>
        <v>41554</v>
      </c>
      <c r="G141" s="484">
        <f t="shared" si="9"/>
        <v>0</v>
      </c>
      <c r="H141" s="485">
        <v>19634</v>
      </c>
      <c r="I141" s="486"/>
      <c r="J141" s="485">
        <v>6993</v>
      </c>
      <c r="K141" s="486"/>
      <c r="L141" s="485">
        <v>14927</v>
      </c>
      <c r="M141" s="485">
        <v>0</v>
      </c>
      <c r="N141" s="485">
        <v>0</v>
      </c>
      <c r="O141" s="486"/>
      <c r="P141" s="486"/>
      <c r="Q141" s="486"/>
      <c r="R141" s="485">
        <v>0</v>
      </c>
      <c r="S141" s="486"/>
      <c r="T141" s="483">
        <f t="shared" si="10"/>
        <v>0</v>
      </c>
      <c r="U141" s="484">
        <f t="shared" si="11"/>
        <v>0</v>
      </c>
      <c r="V141" s="485"/>
      <c r="W141" s="486"/>
      <c r="X141" s="485"/>
      <c r="Y141" s="486"/>
      <c r="Z141" s="485"/>
      <c r="AA141" s="485"/>
      <c r="AB141" s="485"/>
      <c r="AC141" s="486"/>
      <c r="AD141" s="486"/>
      <c r="AE141" s="486"/>
      <c r="AF141" s="485"/>
      <c r="AG141" s="486"/>
    </row>
    <row r="142" spans="1:33" s="28" customFormat="1" ht="13.5" customHeight="1">
      <c r="A142" s="94" t="s">
        <v>149</v>
      </c>
      <c r="B142" s="95" t="s">
        <v>204</v>
      </c>
      <c r="C142" s="56"/>
      <c r="D142" s="59">
        <v>138682</v>
      </c>
      <c r="E142" s="59">
        <v>12</v>
      </c>
      <c r="F142" s="483">
        <f t="shared" si="8"/>
        <v>78571</v>
      </c>
      <c r="G142" s="484">
        <f t="shared" si="9"/>
        <v>76970</v>
      </c>
      <c r="H142" s="485">
        <v>40773</v>
      </c>
      <c r="I142" s="486">
        <v>35710</v>
      </c>
      <c r="J142" s="485"/>
      <c r="K142" s="486"/>
      <c r="L142" s="485">
        <v>37798</v>
      </c>
      <c r="M142" s="485">
        <v>0</v>
      </c>
      <c r="N142" s="485"/>
      <c r="O142" s="486">
        <v>41260</v>
      </c>
      <c r="P142" s="486">
        <v>0</v>
      </c>
      <c r="Q142" s="486">
        <v>0</v>
      </c>
      <c r="R142" s="485"/>
      <c r="S142" s="486"/>
      <c r="T142" s="483">
        <f t="shared" si="10"/>
        <v>0</v>
      </c>
      <c r="U142" s="484">
        <f t="shared" si="11"/>
        <v>0</v>
      </c>
      <c r="V142" s="485"/>
      <c r="W142" s="486"/>
      <c r="X142" s="485"/>
      <c r="Y142" s="486"/>
      <c r="Z142" s="485"/>
      <c r="AA142" s="485"/>
      <c r="AB142" s="485"/>
      <c r="AC142" s="486"/>
      <c r="AD142" s="486"/>
      <c r="AE142" s="486"/>
      <c r="AF142" s="485"/>
      <c r="AG142" s="486"/>
    </row>
    <row r="143" spans="1:33">
      <c r="A143" s="94" t="s">
        <v>149</v>
      </c>
      <c r="B143" s="95" t="s">
        <v>205</v>
      </c>
      <c r="C143" s="56"/>
      <c r="D143" s="59">
        <v>246813</v>
      </c>
      <c r="E143" s="59">
        <v>12</v>
      </c>
      <c r="F143" s="483">
        <f t="shared" si="8"/>
        <v>82773</v>
      </c>
      <c r="G143" s="484">
        <f t="shared" si="9"/>
        <v>86137</v>
      </c>
      <c r="H143" s="485">
        <v>66000</v>
      </c>
      <c r="I143" s="486">
        <v>66447</v>
      </c>
      <c r="J143" s="485"/>
      <c r="K143" s="486"/>
      <c r="L143" s="485">
        <v>16741</v>
      </c>
      <c r="M143" s="485">
        <v>32</v>
      </c>
      <c r="N143" s="485"/>
      <c r="O143" s="486">
        <v>19430</v>
      </c>
      <c r="P143" s="486">
        <v>260</v>
      </c>
      <c r="Q143" s="486">
        <v>0</v>
      </c>
      <c r="R143" s="485"/>
      <c r="S143" s="486"/>
      <c r="T143" s="483">
        <f t="shared" si="10"/>
        <v>0</v>
      </c>
      <c r="U143" s="484">
        <f t="shared" si="11"/>
        <v>0</v>
      </c>
      <c r="V143" s="485"/>
      <c r="W143" s="486"/>
      <c r="X143" s="485"/>
      <c r="Y143" s="486"/>
      <c r="Z143" s="485"/>
      <c r="AA143" s="485"/>
      <c r="AB143" s="485"/>
      <c r="AC143" s="486"/>
      <c r="AD143" s="486"/>
      <c r="AE143" s="486"/>
      <c r="AF143" s="485"/>
      <c r="AG143" s="486"/>
    </row>
    <row r="144" spans="1:33">
      <c r="A144" s="94" t="s">
        <v>149</v>
      </c>
      <c r="B144" s="95" t="s">
        <v>206</v>
      </c>
      <c r="C144" s="56"/>
      <c r="D144" s="59">
        <v>138840</v>
      </c>
      <c r="E144" s="59">
        <v>12</v>
      </c>
      <c r="F144" s="483">
        <f t="shared" si="8"/>
        <v>96224</v>
      </c>
      <c r="G144" s="484">
        <f t="shared" si="9"/>
        <v>86559</v>
      </c>
      <c r="H144" s="485">
        <v>56558</v>
      </c>
      <c r="I144" s="486">
        <v>49899</v>
      </c>
      <c r="J144" s="485"/>
      <c r="K144" s="486"/>
      <c r="L144" s="485">
        <v>39666</v>
      </c>
      <c r="M144" s="485">
        <v>0</v>
      </c>
      <c r="N144" s="485"/>
      <c r="O144" s="486">
        <v>36660</v>
      </c>
      <c r="P144" s="486">
        <v>0</v>
      </c>
      <c r="Q144" s="486">
        <v>0</v>
      </c>
      <c r="R144" s="485"/>
      <c r="S144" s="486"/>
      <c r="T144" s="483">
        <f t="shared" si="10"/>
        <v>0</v>
      </c>
      <c r="U144" s="484">
        <f t="shared" si="11"/>
        <v>0</v>
      </c>
      <c r="V144" s="485"/>
      <c r="W144" s="486"/>
      <c r="X144" s="485"/>
      <c r="Y144" s="486"/>
      <c r="Z144" s="485"/>
      <c r="AA144" s="485"/>
      <c r="AB144" s="485"/>
      <c r="AC144" s="486"/>
      <c r="AD144" s="486"/>
      <c r="AE144" s="486"/>
      <c r="AF144" s="485"/>
      <c r="AG144" s="486"/>
    </row>
    <row r="145" spans="1:33">
      <c r="A145" s="94" t="s">
        <v>149</v>
      </c>
      <c r="B145" s="95" t="s">
        <v>207</v>
      </c>
      <c r="C145" s="56"/>
      <c r="D145" s="59">
        <v>138956</v>
      </c>
      <c r="E145" s="59">
        <v>12</v>
      </c>
      <c r="F145" s="483">
        <f t="shared" si="8"/>
        <v>97659</v>
      </c>
      <c r="G145" s="484">
        <f t="shared" si="9"/>
        <v>100487</v>
      </c>
      <c r="H145" s="485">
        <v>87518</v>
      </c>
      <c r="I145" s="486">
        <v>89916</v>
      </c>
      <c r="J145" s="485"/>
      <c r="K145" s="486"/>
      <c r="L145" s="485">
        <v>10141</v>
      </c>
      <c r="M145" s="485">
        <v>0</v>
      </c>
      <c r="N145" s="485"/>
      <c r="O145" s="486">
        <v>10571</v>
      </c>
      <c r="P145" s="486">
        <v>0</v>
      </c>
      <c r="Q145" s="486">
        <v>0</v>
      </c>
      <c r="R145" s="485"/>
      <c r="S145" s="486"/>
      <c r="T145" s="483">
        <f t="shared" si="10"/>
        <v>0</v>
      </c>
      <c r="U145" s="484">
        <f t="shared" si="11"/>
        <v>0</v>
      </c>
      <c r="V145" s="485"/>
      <c r="W145" s="486"/>
      <c r="X145" s="485"/>
      <c r="Y145" s="486"/>
      <c r="Z145" s="485"/>
      <c r="AA145" s="485"/>
      <c r="AB145" s="485"/>
      <c r="AC145" s="486"/>
      <c r="AD145" s="486"/>
      <c r="AE145" s="486"/>
      <c r="AF145" s="485"/>
      <c r="AG145" s="486"/>
    </row>
    <row r="146" spans="1:33">
      <c r="A146" s="94" t="s">
        <v>149</v>
      </c>
      <c r="B146" s="95" t="s">
        <v>208</v>
      </c>
      <c r="C146" s="56"/>
      <c r="D146" s="59">
        <v>483045</v>
      </c>
      <c r="E146" s="59">
        <v>12</v>
      </c>
      <c r="F146" s="483">
        <f t="shared" si="8"/>
        <v>164946</v>
      </c>
      <c r="G146" s="484">
        <f t="shared" si="9"/>
        <v>170017</v>
      </c>
      <c r="H146" s="485">
        <v>93921</v>
      </c>
      <c r="I146" s="486">
        <v>92543</v>
      </c>
      <c r="J146" s="485"/>
      <c r="K146" s="486"/>
      <c r="L146" s="485">
        <v>59674</v>
      </c>
      <c r="M146" s="485">
        <v>11351</v>
      </c>
      <c r="N146" s="485"/>
      <c r="O146" s="486">
        <v>66388</v>
      </c>
      <c r="P146" s="486">
        <v>11086</v>
      </c>
      <c r="Q146" s="486">
        <v>0</v>
      </c>
      <c r="R146" s="485"/>
      <c r="S146" s="486"/>
      <c r="T146" s="483">
        <f t="shared" si="10"/>
        <v>0</v>
      </c>
      <c r="U146" s="484">
        <f t="shared" si="11"/>
        <v>0</v>
      </c>
      <c r="V146" s="485"/>
      <c r="W146" s="486"/>
      <c r="X146" s="485"/>
      <c r="Y146" s="486"/>
      <c r="Z146" s="485"/>
      <c r="AA146" s="485"/>
      <c r="AB146" s="485"/>
      <c r="AC146" s="486"/>
      <c r="AD146" s="486"/>
      <c r="AE146" s="486"/>
      <c r="AF146" s="485"/>
      <c r="AG146" s="486"/>
    </row>
    <row r="147" spans="1:33">
      <c r="A147" s="94" t="s">
        <v>149</v>
      </c>
      <c r="B147" s="95" t="s">
        <v>209</v>
      </c>
      <c r="C147" s="56"/>
      <c r="D147" s="59">
        <v>140331</v>
      </c>
      <c r="E147" s="59">
        <v>12</v>
      </c>
      <c r="F147" s="483">
        <f t="shared" si="8"/>
        <v>192262</v>
      </c>
      <c r="G147" s="484">
        <f t="shared" si="9"/>
        <v>194492</v>
      </c>
      <c r="H147" s="485">
        <v>94642</v>
      </c>
      <c r="I147" s="486">
        <v>98217</v>
      </c>
      <c r="J147" s="485"/>
      <c r="K147" s="486"/>
      <c r="L147" s="485">
        <v>97620</v>
      </c>
      <c r="M147" s="485">
        <v>0</v>
      </c>
      <c r="N147" s="485"/>
      <c r="O147" s="486">
        <v>96275</v>
      </c>
      <c r="P147" s="486">
        <v>0</v>
      </c>
      <c r="Q147" s="486">
        <v>0</v>
      </c>
      <c r="R147" s="485"/>
      <c r="S147" s="486"/>
      <c r="T147" s="483">
        <f t="shared" si="10"/>
        <v>0</v>
      </c>
      <c r="U147" s="484">
        <f t="shared" si="11"/>
        <v>0</v>
      </c>
      <c r="V147" s="485"/>
      <c r="W147" s="486"/>
      <c r="X147" s="485"/>
      <c r="Y147" s="486"/>
      <c r="Z147" s="485"/>
      <c r="AA147" s="485"/>
      <c r="AB147" s="485"/>
      <c r="AC147" s="486"/>
      <c r="AD147" s="486"/>
      <c r="AE147" s="486"/>
      <c r="AF147" s="485"/>
      <c r="AG147" s="486"/>
    </row>
    <row r="148" spans="1:33">
      <c r="A148" s="94" t="s">
        <v>149</v>
      </c>
      <c r="B148" s="96" t="s">
        <v>210</v>
      </c>
      <c r="C148" s="56"/>
      <c r="D148" s="97">
        <v>485458</v>
      </c>
      <c r="E148" s="59">
        <v>12</v>
      </c>
      <c r="F148" s="483">
        <f t="shared" ref="F148:F211" si="12">SUM(H148,J148,L148,M148,N148,R148)</f>
        <v>55795</v>
      </c>
      <c r="G148" s="484">
        <f t="shared" ref="G148:G211" si="13">SUM(I148,K148,O148,P148,Q148,S148)</f>
        <v>60866</v>
      </c>
      <c r="H148" s="485">
        <v>44527</v>
      </c>
      <c r="I148" s="486">
        <v>48116</v>
      </c>
      <c r="J148" s="485"/>
      <c r="K148" s="486"/>
      <c r="L148" s="485">
        <v>11268</v>
      </c>
      <c r="M148" s="485">
        <v>0</v>
      </c>
      <c r="N148" s="485"/>
      <c r="O148" s="486">
        <v>12750</v>
      </c>
      <c r="P148" s="486">
        <v>0</v>
      </c>
      <c r="Q148" s="486">
        <v>0</v>
      </c>
      <c r="R148" s="485"/>
      <c r="S148" s="486"/>
      <c r="T148" s="483">
        <f t="shared" ref="T148:T211" si="14">SUM(V148,X148,Z148,AA148,AB148,AF148)</f>
        <v>0</v>
      </c>
      <c r="U148" s="484">
        <f t="shared" ref="U148:U211" si="15">SUM(W148,Y148,AC148,AD148,AE148,AG148)</f>
        <v>0</v>
      </c>
      <c r="V148" s="485"/>
      <c r="W148" s="486"/>
      <c r="X148" s="485"/>
      <c r="Y148" s="486"/>
      <c r="Z148" s="485"/>
      <c r="AA148" s="485"/>
      <c r="AB148" s="485"/>
      <c r="AC148" s="486"/>
      <c r="AD148" s="486"/>
      <c r="AE148" s="486"/>
      <c r="AF148" s="485"/>
      <c r="AG148" s="486"/>
    </row>
    <row r="149" spans="1:33">
      <c r="A149" s="94" t="s">
        <v>149</v>
      </c>
      <c r="B149" s="95" t="s">
        <v>211</v>
      </c>
      <c r="C149" s="56"/>
      <c r="D149" s="59">
        <v>139357</v>
      </c>
      <c r="E149" s="59">
        <v>12</v>
      </c>
      <c r="F149" s="483">
        <f t="shared" si="12"/>
        <v>66237.600000000006</v>
      </c>
      <c r="G149" s="484">
        <f t="shared" si="13"/>
        <v>70252.399999999994</v>
      </c>
      <c r="H149" s="485">
        <v>45247.6</v>
      </c>
      <c r="I149" s="486">
        <v>45287.3</v>
      </c>
      <c r="J149" s="485"/>
      <c r="K149" s="486"/>
      <c r="L149" s="485">
        <v>20990</v>
      </c>
      <c r="M149" s="485">
        <v>0</v>
      </c>
      <c r="N149" s="485"/>
      <c r="O149" s="486">
        <v>24965.1</v>
      </c>
      <c r="P149" s="486">
        <v>0</v>
      </c>
      <c r="Q149" s="486">
        <v>0</v>
      </c>
      <c r="R149" s="485"/>
      <c r="S149" s="486"/>
      <c r="T149" s="483">
        <f t="shared" si="14"/>
        <v>0</v>
      </c>
      <c r="U149" s="484">
        <f t="shared" si="15"/>
        <v>0</v>
      </c>
      <c r="V149" s="485"/>
      <c r="W149" s="486"/>
      <c r="X149" s="485"/>
      <c r="Y149" s="486"/>
      <c r="Z149" s="485"/>
      <c r="AA149" s="485"/>
      <c r="AB149" s="485"/>
      <c r="AC149" s="486"/>
      <c r="AD149" s="486"/>
      <c r="AE149" s="486"/>
      <c r="AF149" s="485"/>
      <c r="AG149" s="486"/>
    </row>
    <row r="150" spans="1:33">
      <c r="A150" s="94" t="s">
        <v>149</v>
      </c>
      <c r="B150" s="95" t="s">
        <v>212</v>
      </c>
      <c r="C150" s="56"/>
      <c r="D150" s="59">
        <v>139384</v>
      </c>
      <c r="E150" s="59">
        <v>12</v>
      </c>
      <c r="F150" s="483">
        <f t="shared" si="12"/>
        <v>110511</v>
      </c>
      <c r="G150" s="484">
        <f t="shared" si="13"/>
        <v>111820</v>
      </c>
      <c r="H150" s="485">
        <v>70215</v>
      </c>
      <c r="I150" s="486">
        <v>65466</v>
      </c>
      <c r="J150" s="485"/>
      <c r="K150" s="486"/>
      <c r="L150" s="485">
        <v>40296</v>
      </c>
      <c r="M150" s="485">
        <v>0</v>
      </c>
      <c r="N150" s="485"/>
      <c r="O150" s="486">
        <v>46354</v>
      </c>
      <c r="P150" s="486">
        <v>0</v>
      </c>
      <c r="Q150" s="486">
        <v>0</v>
      </c>
      <c r="R150" s="485"/>
      <c r="S150" s="486"/>
      <c r="T150" s="483">
        <f t="shared" si="14"/>
        <v>0</v>
      </c>
      <c r="U150" s="484">
        <f t="shared" si="15"/>
        <v>0</v>
      </c>
      <c r="V150" s="485"/>
      <c r="W150" s="486"/>
      <c r="X150" s="485"/>
      <c r="Y150" s="486"/>
      <c r="Z150" s="485"/>
      <c r="AA150" s="485"/>
      <c r="AB150" s="485"/>
      <c r="AC150" s="486"/>
      <c r="AD150" s="486"/>
      <c r="AE150" s="486"/>
      <c r="AF150" s="485"/>
      <c r="AG150" s="486"/>
    </row>
    <row r="151" spans="1:33">
      <c r="A151" s="94" t="s">
        <v>149</v>
      </c>
      <c r="B151" s="95" t="s">
        <v>213</v>
      </c>
      <c r="C151" s="57"/>
      <c r="D151" s="59">
        <v>244446</v>
      </c>
      <c r="E151" s="59">
        <v>12</v>
      </c>
      <c r="F151" s="483">
        <f t="shared" si="12"/>
        <v>90588.5</v>
      </c>
      <c r="G151" s="484">
        <f t="shared" si="13"/>
        <v>79406</v>
      </c>
      <c r="H151" s="485">
        <v>46191.5</v>
      </c>
      <c r="I151" s="486">
        <v>22955</v>
      </c>
      <c r="J151" s="485"/>
      <c r="K151" s="486"/>
      <c r="L151" s="485">
        <v>44397</v>
      </c>
      <c r="M151" s="485">
        <v>0</v>
      </c>
      <c r="N151" s="485"/>
      <c r="O151" s="486">
        <v>56451</v>
      </c>
      <c r="P151" s="486">
        <v>0</v>
      </c>
      <c r="Q151" s="486">
        <v>0</v>
      </c>
      <c r="R151" s="485"/>
      <c r="S151" s="486"/>
      <c r="T151" s="483">
        <f t="shared" si="14"/>
        <v>0</v>
      </c>
      <c r="U151" s="484">
        <f t="shared" si="15"/>
        <v>0</v>
      </c>
      <c r="V151" s="485"/>
      <c r="W151" s="486"/>
      <c r="X151" s="485"/>
      <c r="Y151" s="486"/>
      <c r="Z151" s="485"/>
      <c r="AA151" s="485"/>
      <c r="AB151" s="485"/>
      <c r="AC151" s="486"/>
      <c r="AD151" s="486"/>
      <c r="AE151" s="486"/>
      <c r="AF151" s="485"/>
      <c r="AG151" s="486"/>
    </row>
    <row r="152" spans="1:33">
      <c r="A152" s="94" t="s">
        <v>149</v>
      </c>
      <c r="B152" s="95" t="s">
        <v>214</v>
      </c>
      <c r="C152" s="56"/>
      <c r="D152" s="59">
        <v>140012</v>
      </c>
      <c r="E152" s="59">
        <v>12</v>
      </c>
      <c r="F152" s="483">
        <f t="shared" si="12"/>
        <v>155430</v>
      </c>
      <c r="G152" s="484">
        <f t="shared" si="13"/>
        <v>167248</v>
      </c>
      <c r="H152" s="485">
        <v>94385</v>
      </c>
      <c r="I152" s="486">
        <v>97710</v>
      </c>
      <c r="J152" s="485"/>
      <c r="K152" s="486"/>
      <c r="L152" s="485">
        <v>61045</v>
      </c>
      <c r="M152" s="485">
        <v>0</v>
      </c>
      <c r="N152" s="485"/>
      <c r="O152" s="486">
        <v>69538</v>
      </c>
      <c r="P152" s="486">
        <v>0</v>
      </c>
      <c r="Q152" s="486">
        <v>0</v>
      </c>
      <c r="R152" s="485"/>
      <c r="S152" s="486"/>
      <c r="T152" s="483">
        <f t="shared" si="14"/>
        <v>0</v>
      </c>
      <c r="U152" s="484">
        <f t="shared" si="15"/>
        <v>0</v>
      </c>
      <c r="V152" s="485"/>
      <c r="W152" s="486"/>
      <c r="X152" s="485"/>
      <c r="Y152" s="486"/>
      <c r="Z152" s="485"/>
      <c r="AA152" s="485"/>
      <c r="AB152" s="485"/>
      <c r="AC152" s="486"/>
      <c r="AD152" s="486"/>
      <c r="AE152" s="486"/>
      <c r="AF152" s="485"/>
      <c r="AG152" s="486"/>
    </row>
    <row r="153" spans="1:33">
      <c r="A153" s="94" t="s">
        <v>149</v>
      </c>
      <c r="B153" s="95" t="s">
        <v>215</v>
      </c>
      <c r="C153" s="56"/>
      <c r="D153" s="59">
        <v>140243</v>
      </c>
      <c r="E153" s="59">
        <v>12</v>
      </c>
      <c r="F153" s="483">
        <f t="shared" si="12"/>
        <v>73379</v>
      </c>
      <c r="G153" s="484">
        <f t="shared" si="13"/>
        <v>74738</v>
      </c>
      <c r="H153" s="485">
        <v>50007</v>
      </c>
      <c r="I153" s="486">
        <v>54752</v>
      </c>
      <c r="J153" s="485"/>
      <c r="K153" s="486"/>
      <c r="L153" s="485">
        <v>23372</v>
      </c>
      <c r="M153" s="485">
        <v>0</v>
      </c>
      <c r="N153" s="485"/>
      <c r="O153" s="486">
        <v>19986</v>
      </c>
      <c r="P153" s="486">
        <v>0</v>
      </c>
      <c r="Q153" s="486">
        <v>0</v>
      </c>
      <c r="R153" s="485"/>
      <c r="S153" s="486"/>
      <c r="T153" s="483">
        <f t="shared" si="14"/>
        <v>0</v>
      </c>
      <c r="U153" s="484">
        <f t="shared" si="15"/>
        <v>0</v>
      </c>
      <c r="V153" s="485"/>
      <c r="W153" s="486"/>
      <c r="X153" s="485"/>
      <c r="Y153" s="486"/>
      <c r="Z153" s="485"/>
      <c r="AA153" s="485"/>
      <c r="AB153" s="485"/>
      <c r="AC153" s="486"/>
      <c r="AD153" s="486"/>
      <c r="AE153" s="486"/>
      <c r="AF153" s="485"/>
      <c r="AG153" s="486"/>
    </row>
    <row r="154" spans="1:33">
      <c r="A154" s="94" t="s">
        <v>149</v>
      </c>
      <c r="B154" s="95" t="s">
        <v>216</v>
      </c>
      <c r="C154" s="56"/>
      <c r="D154" s="59">
        <v>140678</v>
      </c>
      <c r="E154" s="59">
        <v>12</v>
      </c>
      <c r="F154" s="483">
        <f t="shared" si="12"/>
        <v>57264</v>
      </c>
      <c r="G154" s="484">
        <f t="shared" si="13"/>
        <v>53903</v>
      </c>
      <c r="H154" s="485">
        <v>39851</v>
      </c>
      <c r="I154" s="486">
        <v>35839</v>
      </c>
      <c r="J154" s="485"/>
      <c r="K154" s="486"/>
      <c r="L154" s="485">
        <v>17413</v>
      </c>
      <c r="M154" s="485">
        <v>0</v>
      </c>
      <c r="N154" s="485"/>
      <c r="O154" s="486">
        <v>18064</v>
      </c>
      <c r="P154" s="486">
        <v>0</v>
      </c>
      <c r="Q154" s="486">
        <v>0</v>
      </c>
      <c r="R154" s="485"/>
      <c r="S154" s="486"/>
      <c r="T154" s="483">
        <f t="shared" si="14"/>
        <v>0</v>
      </c>
      <c r="U154" s="484">
        <f t="shared" si="15"/>
        <v>0</v>
      </c>
      <c r="V154" s="485"/>
      <c r="W154" s="486"/>
      <c r="X154" s="485"/>
      <c r="Y154" s="486"/>
      <c r="Z154" s="485"/>
      <c r="AA154" s="485"/>
      <c r="AB154" s="485"/>
      <c r="AC154" s="486"/>
      <c r="AD154" s="486"/>
      <c r="AE154" s="486"/>
      <c r="AF154" s="485"/>
      <c r="AG154" s="486"/>
    </row>
    <row r="155" spans="1:33">
      <c r="A155" s="94" t="s">
        <v>149</v>
      </c>
      <c r="B155" s="95" t="s">
        <v>217</v>
      </c>
      <c r="C155" s="15" t="s">
        <v>965</v>
      </c>
      <c r="D155" s="59">
        <v>420431</v>
      </c>
      <c r="E155" s="59">
        <v>12</v>
      </c>
      <c r="F155" s="483">
        <f t="shared" si="12"/>
        <v>29021</v>
      </c>
      <c r="G155" s="484">
        <f t="shared" si="13"/>
        <v>29632</v>
      </c>
      <c r="H155" s="485">
        <v>19862</v>
      </c>
      <c r="I155" s="486">
        <v>19940</v>
      </c>
      <c r="J155" s="485"/>
      <c r="K155" s="486"/>
      <c r="L155" s="485">
        <v>9159</v>
      </c>
      <c r="M155" s="485">
        <v>0</v>
      </c>
      <c r="N155" s="485"/>
      <c r="O155" s="486">
        <v>9692</v>
      </c>
      <c r="P155" s="486">
        <v>0</v>
      </c>
      <c r="Q155" s="486">
        <v>0</v>
      </c>
      <c r="R155" s="485"/>
      <c r="S155" s="486"/>
      <c r="T155" s="483">
        <f t="shared" si="14"/>
        <v>0</v>
      </c>
      <c r="U155" s="484">
        <f t="shared" si="15"/>
        <v>0</v>
      </c>
      <c r="V155" s="485"/>
      <c r="W155" s="486"/>
      <c r="X155" s="485"/>
      <c r="Y155" s="486"/>
      <c r="Z155" s="485"/>
      <c r="AA155" s="485"/>
      <c r="AB155" s="485"/>
      <c r="AC155" s="486"/>
      <c r="AD155" s="486"/>
      <c r="AE155" s="486"/>
      <c r="AF155" s="485"/>
      <c r="AG155" s="486"/>
    </row>
    <row r="156" spans="1:33">
      <c r="A156" s="98" t="s">
        <v>149</v>
      </c>
      <c r="B156" s="95" t="s">
        <v>218</v>
      </c>
      <c r="C156" s="56"/>
      <c r="D156" s="59">
        <v>366465</v>
      </c>
      <c r="E156" s="59">
        <v>12</v>
      </c>
      <c r="F156" s="483">
        <f t="shared" si="12"/>
        <v>47175</v>
      </c>
      <c r="G156" s="484">
        <f t="shared" si="13"/>
        <v>47084</v>
      </c>
      <c r="H156" s="485">
        <v>32775</v>
      </c>
      <c r="I156" s="486">
        <v>30753</v>
      </c>
      <c r="J156" s="485"/>
      <c r="K156" s="486"/>
      <c r="L156" s="485">
        <v>14400</v>
      </c>
      <c r="M156" s="485">
        <v>0</v>
      </c>
      <c r="N156" s="485"/>
      <c r="O156" s="486">
        <v>16331</v>
      </c>
      <c r="P156" s="486">
        <v>0</v>
      </c>
      <c r="Q156" s="486">
        <v>0</v>
      </c>
      <c r="R156" s="485"/>
      <c r="S156" s="486"/>
      <c r="T156" s="483">
        <f t="shared" si="14"/>
        <v>0</v>
      </c>
      <c r="U156" s="484">
        <f t="shared" si="15"/>
        <v>0</v>
      </c>
      <c r="V156" s="485"/>
      <c r="W156" s="486"/>
      <c r="X156" s="485"/>
      <c r="Y156" s="486"/>
      <c r="Z156" s="485"/>
      <c r="AA156" s="485"/>
      <c r="AB156" s="485"/>
      <c r="AC156" s="486"/>
      <c r="AD156" s="486"/>
      <c r="AE156" s="486"/>
      <c r="AF156" s="485"/>
      <c r="AG156" s="486"/>
    </row>
    <row r="157" spans="1:33">
      <c r="A157" s="98" t="s">
        <v>149</v>
      </c>
      <c r="B157" s="95" t="s">
        <v>219</v>
      </c>
      <c r="C157" s="56"/>
      <c r="D157" s="59">
        <v>140942</v>
      </c>
      <c r="E157" s="59">
        <v>12</v>
      </c>
      <c r="F157" s="483">
        <f t="shared" si="12"/>
        <v>87865</v>
      </c>
      <c r="G157" s="484">
        <f t="shared" si="13"/>
        <v>86869</v>
      </c>
      <c r="H157" s="485">
        <v>64030</v>
      </c>
      <c r="I157" s="486">
        <v>61865</v>
      </c>
      <c r="J157" s="485"/>
      <c r="K157" s="486"/>
      <c r="L157" s="485">
        <v>23835</v>
      </c>
      <c r="M157" s="485">
        <v>0</v>
      </c>
      <c r="N157" s="485"/>
      <c r="O157" s="486">
        <v>25004</v>
      </c>
      <c r="P157" s="486">
        <v>0</v>
      </c>
      <c r="Q157" s="486">
        <v>0</v>
      </c>
      <c r="R157" s="485"/>
      <c r="S157" s="486"/>
      <c r="T157" s="483">
        <f t="shared" si="14"/>
        <v>0</v>
      </c>
      <c r="U157" s="484">
        <f t="shared" si="15"/>
        <v>0</v>
      </c>
      <c r="V157" s="485"/>
      <c r="W157" s="486"/>
      <c r="X157" s="485"/>
      <c r="Y157" s="486"/>
      <c r="Z157" s="485"/>
      <c r="AA157" s="485"/>
      <c r="AB157" s="485"/>
      <c r="AC157" s="486"/>
      <c r="AD157" s="486"/>
      <c r="AE157" s="486"/>
      <c r="AF157" s="485"/>
      <c r="AG157" s="486"/>
    </row>
    <row r="158" spans="1:33">
      <c r="A158" s="98" t="s">
        <v>149</v>
      </c>
      <c r="B158" s="95" t="s">
        <v>220</v>
      </c>
      <c r="C158" s="56"/>
      <c r="D158" s="59">
        <v>141006</v>
      </c>
      <c r="E158" s="59">
        <v>12</v>
      </c>
      <c r="F158" s="483">
        <f t="shared" si="12"/>
        <v>45742</v>
      </c>
      <c r="G158" s="484">
        <f t="shared" si="13"/>
        <v>49872</v>
      </c>
      <c r="H158" s="485">
        <v>39296</v>
      </c>
      <c r="I158" s="486">
        <v>39027</v>
      </c>
      <c r="J158" s="485"/>
      <c r="K158" s="486"/>
      <c r="L158" s="485">
        <v>6446</v>
      </c>
      <c r="M158" s="485">
        <v>0</v>
      </c>
      <c r="N158" s="485"/>
      <c r="O158" s="486">
        <v>10845</v>
      </c>
      <c r="P158" s="486">
        <v>0</v>
      </c>
      <c r="Q158" s="486">
        <v>0</v>
      </c>
      <c r="R158" s="485"/>
      <c r="S158" s="486"/>
      <c r="T158" s="483">
        <f t="shared" si="14"/>
        <v>0</v>
      </c>
      <c r="U158" s="484">
        <f t="shared" si="15"/>
        <v>0</v>
      </c>
      <c r="V158" s="485"/>
      <c r="W158" s="486"/>
      <c r="X158" s="485"/>
      <c r="Y158" s="486"/>
      <c r="Z158" s="485"/>
      <c r="AA158" s="485"/>
      <c r="AB158" s="485"/>
      <c r="AC158" s="486"/>
      <c r="AD158" s="486"/>
      <c r="AE158" s="486"/>
      <c r="AF158" s="485"/>
      <c r="AG158" s="486"/>
    </row>
    <row r="159" spans="1:33">
      <c r="A159" s="98" t="s">
        <v>149</v>
      </c>
      <c r="B159" s="95" t="s">
        <v>221</v>
      </c>
      <c r="C159" s="56"/>
      <c r="D159" s="59">
        <v>368911</v>
      </c>
      <c r="E159" s="59">
        <v>12</v>
      </c>
      <c r="F159" s="483">
        <f t="shared" si="12"/>
        <v>34581</v>
      </c>
      <c r="G159" s="484">
        <f t="shared" si="13"/>
        <v>34406</v>
      </c>
      <c r="H159" s="485">
        <v>26693</v>
      </c>
      <c r="I159" s="486">
        <v>25482</v>
      </c>
      <c r="J159" s="485"/>
      <c r="K159" s="486"/>
      <c r="L159" s="485">
        <v>7888</v>
      </c>
      <c r="M159" s="485">
        <v>0</v>
      </c>
      <c r="N159" s="485"/>
      <c r="O159" s="486">
        <v>8924</v>
      </c>
      <c r="P159" s="486">
        <v>0</v>
      </c>
      <c r="Q159" s="486">
        <v>0</v>
      </c>
      <c r="R159" s="485"/>
      <c r="S159" s="486"/>
      <c r="T159" s="483">
        <f t="shared" si="14"/>
        <v>0</v>
      </c>
      <c r="U159" s="484">
        <f t="shared" si="15"/>
        <v>0</v>
      </c>
      <c r="V159" s="485"/>
      <c r="W159" s="486"/>
      <c r="X159" s="485"/>
      <c r="Y159" s="486"/>
      <c r="Z159" s="485"/>
      <c r="AA159" s="485"/>
      <c r="AB159" s="485"/>
      <c r="AC159" s="486"/>
      <c r="AD159" s="486"/>
      <c r="AE159" s="486"/>
      <c r="AF159" s="485"/>
      <c r="AG159" s="486"/>
    </row>
    <row r="160" spans="1:33">
      <c r="A160" s="98" t="s">
        <v>149</v>
      </c>
      <c r="B160" s="99" t="s">
        <v>222</v>
      </c>
      <c r="C160" s="56"/>
      <c r="D160" s="59">
        <v>139986</v>
      </c>
      <c r="E160" s="59">
        <v>12</v>
      </c>
      <c r="F160" s="483">
        <f t="shared" si="12"/>
        <v>94521</v>
      </c>
      <c r="G160" s="484">
        <f t="shared" si="13"/>
        <v>99878</v>
      </c>
      <c r="H160" s="485">
        <v>64940</v>
      </c>
      <c r="I160" s="486">
        <v>64903</v>
      </c>
      <c r="J160" s="485"/>
      <c r="K160" s="486"/>
      <c r="L160" s="485">
        <v>29581</v>
      </c>
      <c r="M160" s="485">
        <v>0</v>
      </c>
      <c r="N160" s="485"/>
      <c r="O160" s="486">
        <v>34975</v>
      </c>
      <c r="P160" s="486">
        <v>0</v>
      </c>
      <c r="Q160" s="486">
        <v>0</v>
      </c>
      <c r="R160" s="485"/>
      <c r="S160" s="486"/>
      <c r="T160" s="483">
        <f t="shared" si="14"/>
        <v>0</v>
      </c>
      <c r="U160" s="484">
        <f t="shared" si="15"/>
        <v>0</v>
      </c>
      <c r="V160" s="485"/>
      <c r="W160" s="486"/>
      <c r="X160" s="485"/>
      <c r="Y160" s="486"/>
      <c r="Z160" s="485"/>
      <c r="AA160" s="485"/>
      <c r="AB160" s="485"/>
      <c r="AC160" s="486"/>
      <c r="AD160" s="486"/>
      <c r="AE160" s="486"/>
      <c r="AF160" s="485"/>
      <c r="AG160" s="486"/>
    </row>
    <row r="161" spans="1:33">
      <c r="A161" s="98" t="s">
        <v>149</v>
      </c>
      <c r="B161" s="96" t="s">
        <v>223</v>
      </c>
      <c r="C161" s="56"/>
      <c r="D161" s="97">
        <v>487162</v>
      </c>
      <c r="E161" s="59">
        <v>12</v>
      </c>
      <c r="F161" s="483">
        <f t="shared" si="12"/>
        <v>79454</v>
      </c>
      <c r="G161" s="484">
        <f t="shared" si="13"/>
        <v>89137</v>
      </c>
      <c r="H161" s="485">
        <v>57782</v>
      </c>
      <c r="I161" s="486">
        <v>62207</v>
      </c>
      <c r="J161" s="485"/>
      <c r="K161" s="486"/>
      <c r="L161" s="485">
        <v>21672</v>
      </c>
      <c r="M161" s="485">
        <v>0</v>
      </c>
      <c r="N161" s="485"/>
      <c r="O161" s="486">
        <v>26930</v>
      </c>
      <c r="P161" s="486">
        <v>0</v>
      </c>
      <c r="Q161" s="486">
        <v>0</v>
      </c>
      <c r="R161" s="485"/>
      <c r="S161" s="486"/>
      <c r="T161" s="483">
        <f t="shared" si="14"/>
        <v>0</v>
      </c>
      <c r="U161" s="484">
        <f t="shared" si="15"/>
        <v>0</v>
      </c>
      <c r="V161" s="485"/>
      <c r="W161" s="486"/>
      <c r="X161" s="485"/>
      <c r="Y161" s="486"/>
      <c r="Z161" s="485"/>
      <c r="AA161" s="485"/>
      <c r="AB161" s="485"/>
      <c r="AC161" s="486"/>
      <c r="AD161" s="486"/>
      <c r="AE161" s="486"/>
      <c r="AF161" s="485"/>
      <c r="AG161" s="486"/>
    </row>
    <row r="162" spans="1:33">
      <c r="A162" s="98" t="s">
        <v>149</v>
      </c>
      <c r="B162" s="95" t="s">
        <v>224</v>
      </c>
      <c r="C162" s="56"/>
      <c r="D162" s="59">
        <v>139278</v>
      </c>
      <c r="E162" s="59">
        <v>12</v>
      </c>
      <c r="F162" s="483">
        <f t="shared" si="12"/>
        <v>133485</v>
      </c>
      <c r="G162" s="484">
        <f t="shared" si="13"/>
        <v>132699</v>
      </c>
      <c r="H162" s="485">
        <v>91035</v>
      </c>
      <c r="I162" s="486">
        <v>87329</v>
      </c>
      <c r="J162" s="485"/>
      <c r="K162" s="486"/>
      <c r="L162" s="485">
        <v>42450</v>
      </c>
      <c r="M162" s="485">
        <v>0</v>
      </c>
      <c r="N162" s="485"/>
      <c r="O162" s="486">
        <v>45370</v>
      </c>
      <c r="P162" s="486">
        <v>0</v>
      </c>
      <c r="Q162" s="486">
        <v>0</v>
      </c>
      <c r="R162" s="485"/>
      <c r="S162" s="486"/>
      <c r="T162" s="483">
        <f t="shared" si="14"/>
        <v>0</v>
      </c>
      <c r="U162" s="484">
        <f t="shared" si="15"/>
        <v>0</v>
      </c>
      <c r="V162" s="485"/>
      <c r="W162" s="486"/>
      <c r="X162" s="485"/>
      <c r="Y162" s="486"/>
      <c r="Z162" s="485"/>
      <c r="AA162" s="485"/>
      <c r="AB162" s="485"/>
      <c r="AC162" s="486"/>
      <c r="AD162" s="486"/>
      <c r="AE162" s="486"/>
      <c r="AF162" s="485"/>
      <c r="AG162" s="486"/>
    </row>
    <row r="163" spans="1:33">
      <c r="A163" s="98" t="s">
        <v>149</v>
      </c>
      <c r="B163" s="99" t="s">
        <v>225</v>
      </c>
      <c r="C163" s="56"/>
      <c r="D163" s="59">
        <v>141255</v>
      </c>
      <c r="E163" s="59">
        <v>12</v>
      </c>
      <c r="F163" s="483">
        <f t="shared" si="12"/>
        <v>76205</v>
      </c>
      <c r="G163" s="484">
        <f t="shared" si="13"/>
        <v>81638</v>
      </c>
      <c r="H163" s="485">
        <v>62118</v>
      </c>
      <c r="I163" s="486">
        <v>64689</v>
      </c>
      <c r="J163" s="485"/>
      <c r="K163" s="486"/>
      <c r="L163" s="485">
        <v>14087</v>
      </c>
      <c r="M163" s="485">
        <v>0</v>
      </c>
      <c r="N163" s="485"/>
      <c r="O163" s="486">
        <v>16949</v>
      </c>
      <c r="P163" s="486">
        <v>0</v>
      </c>
      <c r="Q163" s="486">
        <v>0</v>
      </c>
      <c r="R163" s="485"/>
      <c r="S163" s="486"/>
      <c r="T163" s="483">
        <f t="shared" si="14"/>
        <v>0</v>
      </c>
      <c r="U163" s="484">
        <f t="shared" si="15"/>
        <v>0</v>
      </c>
      <c r="V163" s="485"/>
      <c r="W163" s="486"/>
      <c r="X163" s="485"/>
      <c r="Y163" s="486"/>
      <c r="Z163" s="485"/>
      <c r="AA163" s="485"/>
      <c r="AB163" s="485"/>
      <c r="AC163" s="486"/>
      <c r="AD163" s="486"/>
      <c r="AE163" s="486"/>
      <c r="AF163" s="485"/>
      <c r="AG163" s="486"/>
    </row>
    <row r="164" spans="1:33" s="28" customFormat="1" ht="13.5" customHeight="1">
      <c r="A164" s="100" t="s">
        <v>226</v>
      </c>
      <c r="B164" s="137" t="s">
        <v>227</v>
      </c>
      <c r="C164" s="7"/>
      <c r="D164" s="11">
        <v>157085</v>
      </c>
      <c r="E164" s="138">
        <v>1</v>
      </c>
      <c r="F164" s="483">
        <f t="shared" si="12"/>
        <v>679007</v>
      </c>
      <c r="G164" s="484">
        <f t="shared" si="13"/>
        <v>666352</v>
      </c>
      <c r="H164" s="485">
        <v>618621</v>
      </c>
      <c r="I164" s="486">
        <v>596292</v>
      </c>
      <c r="J164" s="485">
        <v>6688</v>
      </c>
      <c r="K164" s="486">
        <v>8946</v>
      </c>
      <c r="L164" s="485">
        <v>52263</v>
      </c>
      <c r="M164" s="485">
        <v>180</v>
      </c>
      <c r="N164" s="485">
        <v>1255</v>
      </c>
      <c r="O164" s="486">
        <v>59383</v>
      </c>
      <c r="P164" s="486">
        <v>540</v>
      </c>
      <c r="Q164" s="486">
        <v>1191</v>
      </c>
      <c r="R164" s="485"/>
      <c r="S164" s="486"/>
      <c r="T164" s="483">
        <f t="shared" si="14"/>
        <v>83737</v>
      </c>
      <c r="U164" s="484">
        <f t="shared" si="15"/>
        <v>83665</v>
      </c>
      <c r="V164" s="485">
        <v>65706</v>
      </c>
      <c r="W164" s="486">
        <v>63060</v>
      </c>
      <c r="X164" s="485">
        <v>377</v>
      </c>
      <c r="Y164" s="486">
        <v>309</v>
      </c>
      <c r="Z164" s="485">
        <v>17360</v>
      </c>
      <c r="AA164" s="485"/>
      <c r="AB164" s="485">
        <v>294</v>
      </c>
      <c r="AC164" s="486">
        <v>20013</v>
      </c>
      <c r="AD164" s="486"/>
      <c r="AE164" s="486">
        <v>283</v>
      </c>
      <c r="AF164" s="485"/>
      <c r="AG164" s="486"/>
    </row>
    <row r="165" spans="1:33">
      <c r="A165" s="100" t="s">
        <v>226</v>
      </c>
      <c r="B165" s="137" t="s">
        <v>228</v>
      </c>
      <c r="C165" s="7"/>
      <c r="D165" s="11">
        <v>157289</v>
      </c>
      <c r="E165" s="138">
        <v>1</v>
      </c>
      <c r="F165" s="483">
        <f t="shared" si="12"/>
        <v>399252</v>
      </c>
      <c r="G165" s="484">
        <f t="shared" si="13"/>
        <v>391462</v>
      </c>
      <c r="H165" s="485">
        <v>338779</v>
      </c>
      <c r="I165" s="486">
        <v>324563</v>
      </c>
      <c r="J165" s="485">
        <v>13123</v>
      </c>
      <c r="K165" s="486">
        <v>13150</v>
      </c>
      <c r="L165" s="485">
        <v>47350</v>
      </c>
      <c r="M165" s="485"/>
      <c r="N165" s="485"/>
      <c r="O165" s="486">
        <v>53749</v>
      </c>
      <c r="P165" s="486"/>
      <c r="Q165" s="486"/>
      <c r="R165" s="485"/>
      <c r="S165" s="486"/>
      <c r="T165" s="483">
        <f t="shared" si="14"/>
        <v>77483</v>
      </c>
      <c r="U165" s="484">
        <f t="shared" si="15"/>
        <v>80351</v>
      </c>
      <c r="V165" s="485">
        <v>54360</v>
      </c>
      <c r="W165" s="486">
        <v>55586</v>
      </c>
      <c r="X165" s="485">
        <v>6396</v>
      </c>
      <c r="Y165" s="486">
        <v>6232</v>
      </c>
      <c r="Z165" s="485">
        <v>16727</v>
      </c>
      <c r="AA165" s="485"/>
      <c r="AB165" s="485"/>
      <c r="AC165" s="486">
        <v>18533</v>
      </c>
      <c r="AD165" s="486"/>
      <c r="AE165" s="486"/>
      <c r="AF165" s="485"/>
      <c r="AG165" s="486"/>
    </row>
    <row r="166" spans="1:33">
      <c r="A166" s="100" t="s">
        <v>226</v>
      </c>
      <c r="B166" s="137" t="s">
        <v>229</v>
      </c>
      <c r="C166" s="7"/>
      <c r="D166" s="11">
        <v>156620</v>
      </c>
      <c r="E166" s="138">
        <v>3</v>
      </c>
      <c r="F166" s="483">
        <f t="shared" si="12"/>
        <v>392352</v>
      </c>
      <c r="G166" s="484">
        <f t="shared" si="13"/>
        <v>383583</v>
      </c>
      <c r="H166" s="485">
        <v>300699</v>
      </c>
      <c r="I166" s="486">
        <v>288192</v>
      </c>
      <c r="J166" s="485">
        <v>14241</v>
      </c>
      <c r="K166" s="486">
        <v>14604</v>
      </c>
      <c r="L166" s="485">
        <v>68592</v>
      </c>
      <c r="M166" s="485">
        <v>8290</v>
      </c>
      <c r="N166" s="485">
        <v>530</v>
      </c>
      <c r="O166" s="486">
        <v>75149</v>
      </c>
      <c r="P166" s="486">
        <v>5638</v>
      </c>
      <c r="Q166" s="486"/>
      <c r="R166" s="485"/>
      <c r="S166" s="486"/>
      <c r="T166" s="483">
        <f t="shared" si="14"/>
        <v>43235</v>
      </c>
      <c r="U166" s="484">
        <f t="shared" si="15"/>
        <v>42769</v>
      </c>
      <c r="V166" s="485">
        <v>15586</v>
      </c>
      <c r="W166" s="486">
        <v>15258</v>
      </c>
      <c r="X166" s="485">
        <v>880</v>
      </c>
      <c r="Y166" s="486">
        <v>999</v>
      </c>
      <c r="Z166" s="485">
        <v>26323</v>
      </c>
      <c r="AA166" s="485">
        <v>90</v>
      </c>
      <c r="AB166" s="485">
        <v>356</v>
      </c>
      <c r="AC166" s="486">
        <v>26509</v>
      </c>
      <c r="AD166" s="486">
        <v>3</v>
      </c>
      <c r="AE166" s="486"/>
      <c r="AF166" s="485"/>
      <c r="AG166" s="486"/>
    </row>
    <row r="167" spans="1:33">
      <c r="A167" s="100" t="s">
        <v>226</v>
      </c>
      <c r="B167" s="137" t="s">
        <v>230</v>
      </c>
      <c r="C167" s="7"/>
      <c r="D167" s="11">
        <v>157386</v>
      </c>
      <c r="E167" s="138">
        <v>3</v>
      </c>
      <c r="F167" s="483">
        <f t="shared" si="12"/>
        <v>204679</v>
      </c>
      <c r="G167" s="484">
        <f t="shared" si="13"/>
        <v>201307</v>
      </c>
      <c r="H167" s="485">
        <v>121009</v>
      </c>
      <c r="I167" s="486">
        <v>118899</v>
      </c>
      <c r="J167" s="485">
        <v>29264</v>
      </c>
      <c r="K167" s="486">
        <v>28204</v>
      </c>
      <c r="L167" s="485">
        <v>50257</v>
      </c>
      <c r="M167" s="485">
        <v>4149</v>
      </c>
      <c r="N167" s="485"/>
      <c r="O167" s="486">
        <v>49322</v>
      </c>
      <c r="P167" s="486">
        <v>4882</v>
      </c>
      <c r="Q167" s="486"/>
      <c r="R167" s="485"/>
      <c r="S167" s="486"/>
      <c r="T167" s="483">
        <f t="shared" si="14"/>
        <v>13946</v>
      </c>
      <c r="U167" s="484">
        <f t="shared" si="15"/>
        <v>13424</v>
      </c>
      <c r="V167" s="485">
        <v>1647</v>
      </c>
      <c r="W167" s="486">
        <v>1538</v>
      </c>
      <c r="X167" s="485">
        <v>901</v>
      </c>
      <c r="Y167" s="486">
        <v>573</v>
      </c>
      <c r="Z167" s="485">
        <v>11266</v>
      </c>
      <c r="AA167" s="485">
        <v>132</v>
      </c>
      <c r="AB167" s="485"/>
      <c r="AC167" s="486">
        <v>10883</v>
      </c>
      <c r="AD167" s="486">
        <v>430</v>
      </c>
      <c r="AE167" s="486"/>
      <c r="AF167" s="485"/>
      <c r="AG167" s="486"/>
    </row>
    <row r="168" spans="1:33">
      <c r="A168" s="100" t="s">
        <v>226</v>
      </c>
      <c r="B168" s="137" t="s">
        <v>231</v>
      </c>
      <c r="C168" s="7"/>
      <c r="D168" s="11">
        <v>157401</v>
      </c>
      <c r="E168" s="138">
        <v>3</v>
      </c>
      <c r="F168" s="483">
        <f t="shared" si="12"/>
        <v>222238</v>
      </c>
      <c r="G168" s="484">
        <f t="shared" si="13"/>
        <v>212115</v>
      </c>
      <c r="H168" s="485">
        <v>180036</v>
      </c>
      <c r="I168" s="486">
        <v>166732</v>
      </c>
      <c r="J168" s="485">
        <v>10039</v>
      </c>
      <c r="K168" s="486">
        <v>9655</v>
      </c>
      <c r="L168" s="485">
        <v>24470</v>
      </c>
      <c r="M168" s="485">
        <v>7693</v>
      </c>
      <c r="N168" s="485"/>
      <c r="O168" s="486">
        <v>28786</v>
      </c>
      <c r="P168" s="486">
        <v>6942</v>
      </c>
      <c r="Q168" s="486"/>
      <c r="R168" s="485"/>
      <c r="S168" s="486"/>
      <c r="T168" s="483">
        <f t="shared" si="14"/>
        <v>22040</v>
      </c>
      <c r="U168" s="484">
        <f t="shared" si="15"/>
        <v>20151</v>
      </c>
      <c r="V168" s="485">
        <v>10655</v>
      </c>
      <c r="W168" s="486">
        <v>9236</v>
      </c>
      <c r="X168" s="485">
        <v>1325</v>
      </c>
      <c r="Y168" s="486">
        <v>1879</v>
      </c>
      <c r="Z168" s="485">
        <v>9673</v>
      </c>
      <c r="AA168" s="485">
        <v>387</v>
      </c>
      <c r="AB168" s="485"/>
      <c r="AC168" s="486">
        <v>8670</v>
      </c>
      <c r="AD168" s="486">
        <v>366</v>
      </c>
      <c r="AE168" s="486"/>
      <c r="AF168" s="485"/>
      <c r="AG168" s="486"/>
    </row>
    <row r="169" spans="1:33">
      <c r="A169" s="100" t="s">
        <v>226</v>
      </c>
      <c r="B169" s="137" t="s">
        <v>232</v>
      </c>
      <c r="C169" s="6"/>
      <c r="D169" s="11">
        <v>157447</v>
      </c>
      <c r="E169" s="138">
        <v>3</v>
      </c>
      <c r="F169" s="483">
        <f t="shared" si="12"/>
        <v>346325</v>
      </c>
      <c r="G169" s="484">
        <f t="shared" si="13"/>
        <v>334483</v>
      </c>
      <c r="H169" s="485">
        <v>264139</v>
      </c>
      <c r="I169" s="486">
        <v>243743</v>
      </c>
      <c r="J169" s="485">
        <v>15109</v>
      </c>
      <c r="K169" s="486">
        <v>15941</v>
      </c>
      <c r="L169" s="485">
        <v>66861</v>
      </c>
      <c r="M169" s="485">
        <v>216</v>
      </c>
      <c r="N169" s="485"/>
      <c r="O169" s="486">
        <v>74532</v>
      </c>
      <c r="P169" s="486">
        <v>267</v>
      </c>
      <c r="Q169" s="486"/>
      <c r="R169" s="485"/>
      <c r="S169" s="486"/>
      <c r="T169" s="483">
        <f t="shared" si="14"/>
        <v>36073</v>
      </c>
      <c r="U169" s="484">
        <f t="shared" si="15"/>
        <v>40872</v>
      </c>
      <c r="V169" s="485">
        <v>25156</v>
      </c>
      <c r="W169" s="486">
        <v>25219</v>
      </c>
      <c r="X169" s="485">
        <v>846</v>
      </c>
      <c r="Y169" s="486">
        <v>277</v>
      </c>
      <c r="Z169" s="485">
        <v>10071</v>
      </c>
      <c r="AA169" s="485"/>
      <c r="AB169" s="485"/>
      <c r="AC169" s="486">
        <v>15376</v>
      </c>
      <c r="AD169" s="486"/>
      <c r="AE169" s="486"/>
      <c r="AF169" s="485"/>
      <c r="AG169" s="486"/>
    </row>
    <row r="170" spans="1:33">
      <c r="A170" s="100" t="s">
        <v>226</v>
      </c>
      <c r="B170" s="137" t="s">
        <v>233</v>
      </c>
      <c r="C170" s="7"/>
      <c r="D170" s="11">
        <v>157951</v>
      </c>
      <c r="E170" s="138">
        <v>3</v>
      </c>
      <c r="F170" s="483">
        <f t="shared" si="12"/>
        <v>430776</v>
      </c>
      <c r="G170" s="484">
        <f t="shared" si="13"/>
        <v>419381</v>
      </c>
      <c r="H170" s="485">
        <v>318133</v>
      </c>
      <c r="I170" s="486">
        <v>302934</v>
      </c>
      <c r="J170" s="485">
        <v>30579</v>
      </c>
      <c r="K170" s="486">
        <v>27013</v>
      </c>
      <c r="L170" s="485">
        <v>79330</v>
      </c>
      <c r="M170" s="485">
        <v>2707</v>
      </c>
      <c r="N170" s="485">
        <v>27</v>
      </c>
      <c r="O170" s="486">
        <v>85774</v>
      </c>
      <c r="P170" s="486">
        <v>3603</v>
      </c>
      <c r="Q170" s="486">
        <v>57</v>
      </c>
      <c r="R170" s="485"/>
      <c r="S170" s="486"/>
      <c r="T170" s="483">
        <f t="shared" si="14"/>
        <v>40507</v>
      </c>
      <c r="U170" s="484">
        <f t="shared" si="15"/>
        <v>37408</v>
      </c>
      <c r="V170" s="485">
        <v>18586</v>
      </c>
      <c r="W170" s="486">
        <v>14748</v>
      </c>
      <c r="X170" s="485">
        <v>473</v>
      </c>
      <c r="Y170" s="486">
        <v>979</v>
      </c>
      <c r="Z170" s="485">
        <v>21333</v>
      </c>
      <c r="AA170" s="485">
        <v>115</v>
      </c>
      <c r="AB170" s="485"/>
      <c r="AC170" s="486">
        <v>21459</v>
      </c>
      <c r="AD170" s="486">
        <v>213</v>
      </c>
      <c r="AE170" s="486">
        <v>9</v>
      </c>
      <c r="AF170" s="485"/>
      <c r="AG170" s="486"/>
    </row>
    <row r="171" spans="1:33">
      <c r="A171" s="100" t="s">
        <v>226</v>
      </c>
      <c r="B171" s="137" t="s">
        <v>234</v>
      </c>
      <c r="C171" s="7"/>
      <c r="D171" s="11">
        <v>157058</v>
      </c>
      <c r="E171" s="101">
        <v>4</v>
      </c>
      <c r="F171" s="483">
        <f t="shared" si="12"/>
        <v>44162</v>
      </c>
      <c r="G171" s="484">
        <f t="shared" si="13"/>
        <v>43504</v>
      </c>
      <c r="H171" s="485">
        <v>30423</v>
      </c>
      <c r="I171" s="486">
        <v>30501</v>
      </c>
      <c r="J171" s="485">
        <v>213</v>
      </c>
      <c r="K171" s="486"/>
      <c r="L171" s="485">
        <v>13525</v>
      </c>
      <c r="M171" s="485">
        <v>1</v>
      </c>
      <c r="N171" s="485"/>
      <c r="O171" s="486">
        <v>13002</v>
      </c>
      <c r="P171" s="486">
        <v>1</v>
      </c>
      <c r="Q171" s="486"/>
      <c r="R171" s="485"/>
      <c r="S171" s="486"/>
      <c r="T171" s="483">
        <f t="shared" si="14"/>
        <v>2422</v>
      </c>
      <c r="U171" s="484">
        <f t="shared" si="15"/>
        <v>1885</v>
      </c>
      <c r="V171" s="485">
        <v>1959</v>
      </c>
      <c r="W171" s="486">
        <v>1495</v>
      </c>
      <c r="X171" s="485"/>
      <c r="Y171" s="486"/>
      <c r="Z171" s="485">
        <v>463</v>
      </c>
      <c r="AA171" s="485"/>
      <c r="AB171" s="485"/>
      <c r="AC171" s="486">
        <v>390</v>
      </c>
      <c r="AD171" s="486"/>
      <c r="AE171" s="486"/>
      <c r="AF171" s="485"/>
      <c r="AG171" s="486"/>
    </row>
    <row r="172" spans="1:33">
      <c r="A172" s="100" t="s">
        <v>226</v>
      </c>
      <c r="B172" s="137" t="s">
        <v>235</v>
      </c>
      <c r="C172" s="7"/>
      <c r="D172" s="11">
        <v>157173</v>
      </c>
      <c r="E172" s="101">
        <v>8</v>
      </c>
      <c r="F172" s="483">
        <f t="shared" si="12"/>
        <v>190639</v>
      </c>
      <c r="G172" s="484">
        <f t="shared" si="13"/>
        <v>189108</v>
      </c>
      <c r="H172" s="485">
        <v>113143</v>
      </c>
      <c r="I172" s="486">
        <v>108959</v>
      </c>
      <c r="J172" s="485">
        <v>6643</v>
      </c>
      <c r="K172" s="486">
        <v>6166</v>
      </c>
      <c r="L172" s="485">
        <v>70853</v>
      </c>
      <c r="M172" s="485"/>
      <c r="N172" s="485"/>
      <c r="O172" s="486">
        <v>73983</v>
      </c>
      <c r="P172" s="486"/>
      <c r="Q172" s="486"/>
      <c r="R172" s="485"/>
      <c r="S172" s="486"/>
      <c r="T172" s="483">
        <f t="shared" si="14"/>
        <v>0</v>
      </c>
      <c r="U172" s="484">
        <f t="shared" si="15"/>
        <v>0</v>
      </c>
      <c r="V172" s="485" t="s">
        <v>236</v>
      </c>
      <c r="W172" s="486"/>
      <c r="X172" s="485"/>
      <c r="Y172" s="486"/>
      <c r="Z172" s="485"/>
      <c r="AA172" s="485"/>
      <c r="AB172" s="485"/>
      <c r="AC172" s="486"/>
      <c r="AD172" s="486"/>
      <c r="AE172" s="486"/>
      <c r="AF172" s="485"/>
      <c r="AG172" s="486"/>
    </row>
    <row r="173" spans="1:33">
      <c r="A173" s="100" t="s">
        <v>226</v>
      </c>
      <c r="B173" s="137" t="s">
        <v>237</v>
      </c>
      <c r="C173" s="7"/>
      <c r="D173" s="11">
        <v>156921</v>
      </c>
      <c r="E173" s="101">
        <v>8</v>
      </c>
      <c r="F173" s="483">
        <f t="shared" si="12"/>
        <v>193614</v>
      </c>
      <c r="G173" s="484">
        <f t="shared" si="13"/>
        <v>191032</v>
      </c>
      <c r="H173" s="485">
        <v>125317</v>
      </c>
      <c r="I173" s="486">
        <v>120251</v>
      </c>
      <c r="J173" s="485">
        <v>10459</v>
      </c>
      <c r="K173" s="486">
        <v>9999</v>
      </c>
      <c r="L173" s="485">
        <v>57838</v>
      </c>
      <c r="M173" s="485"/>
      <c r="N173" s="485"/>
      <c r="O173" s="486">
        <v>60782</v>
      </c>
      <c r="P173" s="486"/>
      <c r="Q173" s="486"/>
      <c r="R173" s="485"/>
      <c r="S173" s="486"/>
      <c r="T173" s="483">
        <f t="shared" si="14"/>
        <v>0</v>
      </c>
      <c r="U173" s="484">
        <f t="shared" si="15"/>
        <v>0</v>
      </c>
      <c r="V173" s="485"/>
      <c r="W173" s="486"/>
      <c r="X173" s="485"/>
      <c r="Y173" s="486"/>
      <c r="Z173" s="485"/>
      <c r="AA173" s="485"/>
      <c r="AB173" s="485"/>
      <c r="AC173" s="486"/>
      <c r="AD173" s="486"/>
      <c r="AE173" s="486"/>
      <c r="AF173" s="485"/>
      <c r="AG173" s="486"/>
    </row>
    <row r="174" spans="1:33">
      <c r="A174" s="100" t="s">
        <v>226</v>
      </c>
      <c r="B174" s="137" t="s">
        <v>238</v>
      </c>
      <c r="C174" s="7" t="s">
        <v>966</v>
      </c>
      <c r="D174" s="11">
        <v>156231</v>
      </c>
      <c r="E174" s="101">
        <v>9</v>
      </c>
      <c r="F174" s="483">
        <f t="shared" si="12"/>
        <v>58489</v>
      </c>
      <c r="G174" s="484">
        <f t="shared" si="13"/>
        <v>55450</v>
      </c>
      <c r="H174" s="485">
        <v>32592</v>
      </c>
      <c r="I174" s="486">
        <v>29745</v>
      </c>
      <c r="J174" s="485">
        <v>2932</v>
      </c>
      <c r="K174" s="486">
        <v>2825</v>
      </c>
      <c r="L174" s="485">
        <v>22965</v>
      </c>
      <c r="M174" s="485"/>
      <c r="N174" s="485"/>
      <c r="O174" s="486">
        <v>22880</v>
      </c>
      <c r="P174" s="486"/>
      <c r="Q174" s="486"/>
      <c r="R174" s="485"/>
      <c r="S174" s="486"/>
      <c r="T174" s="483">
        <f t="shared" si="14"/>
        <v>0</v>
      </c>
      <c r="U174" s="484">
        <f t="shared" si="15"/>
        <v>0</v>
      </c>
      <c r="V174" s="485"/>
      <c r="W174" s="486"/>
      <c r="X174" s="485"/>
      <c r="Y174" s="486"/>
      <c r="Z174" s="485"/>
      <c r="AA174" s="485"/>
      <c r="AB174" s="485"/>
      <c r="AC174" s="486"/>
      <c r="AD174" s="486"/>
      <c r="AE174" s="486"/>
      <c r="AF174" s="485"/>
      <c r="AG174" s="486"/>
    </row>
    <row r="175" spans="1:33">
      <c r="A175" s="100" t="s">
        <v>226</v>
      </c>
      <c r="B175" s="137" t="s">
        <v>239</v>
      </c>
      <c r="C175" s="7"/>
      <c r="D175" s="11">
        <v>157553</v>
      </c>
      <c r="E175" s="101">
        <v>9</v>
      </c>
      <c r="F175" s="483">
        <f t="shared" si="12"/>
        <v>71899</v>
      </c>
      <c r="G175" s="484">
        <f t="shared" si="13"/>
        <v>65854</v>
      </c>
      <c r="H175" s="485">
        <v>36659</v>
      </c>
      <c r="I175" s="486">
        <v>29683</v>
      </c>
      <c r="J175" s="485">
        <v>779</v>
      </c>
      <c r="K175" s="486">
        <v>884</v>
      </c>
      <c r="L175" s="485">
        <v>34461</v>
      </c>
      <c r="M175" s="485"/>
      <c r="N175" s="485"/>
      <c r="O175" s="486">
        <v>35287</v>
      </c>
      <c r="P175" s="486"/>
      <c r="Q175" s="486"/>
      <c r="R175" s="485"/>
      <c r="S175" s="486"/>
      <c r="T175" s="483">
        <f t="shared" si="14"/>
        <v>0</v>
      </c>
      <c r="U175" s="484">
        <f t="shared" si="15"/>
        <v>0</v>
      </c>
      <c r="V175" s="485"/>
      <c r="W175" s="486"/>
      <c r="X175" s="485"/>
      <c r="Y175" s="486"/>
      <c r="Z175" s="485"/>
      <c r="AA175" s="485"/>
      <c r="AB175" s="485"/>
      <c r="AC175" s="486"/>
      <c r="AD175" s="486"/>
      <c r="AE175" s="486"/>
      <c r="AF175" s="485"/>
      <c r="AG175" s="486"/>
    </row>
    <row r="176" spans="1:33">
      <c r="A176" s="100" t="s">
        <v>226</v>
      </c>
      <c r="B176" s="137" t="s">
        <v>240</v>
      </c>
      <c r="C176" s="7"/>
      <c r="D176" s="11">
        <v>156648</v>
      </c>
      <c r="E176" s="101">
        <v>9</v>
      </c>
      <c r="F176" s="483">
        <f t="shared" si="12"/>
        <v>106331</v>
      </c>
      <c r="G176" s="484">
        <f t="shared" si="13"/>
        <v>107071</v>
      </c>
      <c r="H176" s="485">
        <v>53764</v>
      </c>
      <c r="I176" s="486">
        <v>51452</v>
      </c>
      <c r="J176" s="485">
        <v>6739</v>
      </c>
      <c r="K176" s="486">
        <v>5866</v>
      </c>
      <c r="L176" s="485">
        <v>45828</v>
      </c>
      <c r="M176" s="485"/>
      <c r="N176" s="485"/>
      <c r="O176" s="486">
        <v>49753</v>
      </c>
      <c r="P176" s="486"/>
      <c r="Q176" s="486"/>
      <c r="R176" s="485"/>
      <c r="S176" s="486"/>
      <c r="T176" s="483">
        <f t="shared" si="14"/>
        <v>0</v>
      </c>
      <c r="U176" s="484">
        <f t="shared" si="15"/>
        <v>0</v>
      </c>
      <c r="V176" s="485"/>
      <c r="W176" s="486"/>
      <c r="X176" s="485"/>
      <c r="Y176" s="486"/>
      <c r="Z176" s="485"/>
      <c r="AA176" s="485"/>
      <c r="AB176" s="485"/>
      <c r="AC176" s="486"/>
      <c r="AD176" s="486"/>
      <c r="AE176" s="486"/>
      <c r="AF176" s="485"/>
      <c r="AG176" s="486"/>
    </row>
    <row r="177" spans="1:33">
      <c r="A177" s="100" t="s">
        <v>226</v>
      </c>
      <c r="B177" s="137" t="s">
        <v>243</v>
      </c>
      <c r="C177" s="7"/>
      <c r="D177" s="11">
        <v>157331</v>
      </c>
      <c r="E177" s="101">
        <v>9</v>
      </c>
      <c r="F177" s="483">
        <f t="shared" si="12"/>
        <v>64602</v>
      </c>
      <c r="G177" s="484">
        <f t="shared" si="13"/>
        <v>68819</v>
      </c>
      <c r="H177" s="485">
        <v>30268</v>
      </c>
      <c r="I177" s="486">
        <v>27703</v>
      </c>
      <c r="J177" s="485">
        <v>3718</v>
      </c>
      <c r="K177" s="486">
        <v>8622</v>
      </c>
      <c r="L177" s="485">
        <v>30616</v>
      </c>
      <c r="M177" s="485"/>
      <c r="N177" s="485"/>
      <c r="O177" s="486">
        <v>32494</v>
      </c>
      <c r="P177" s="486"/>
      <c r="Q177" s="486"/>
      <c r="R177" s="485"/>
      <c r="S177" s="486"/>
      <c r="T177" s="483">
        <f t="shared" si="14"/>
        <v>0</v>
      </c>
      <c r="U177" s="484">
        <f t="shared" si="15"/>
        <v>0</v>
      </c>
      <c r="V177" s="485"/>
      <c r="W177" s="486"/>
      <c r="X177" s="485"/>
      <c r="Y177" s="486"/>
      <c r="Z177" s="485"/>
      <c r="AA177" s="485"/>
      <c r="AB177" s="485"/>
      <c r="AC177" s="486"/>
      <c r="AD177" s="486"/>
      <c r="AE177" s="486"/>
      <c r="AF177" s="485"/>
      <c r="AG177" s="486"/>
    </row>
    <row r="178" spans="1:33">
      <c r="A178" s="100" t="s">
        <v>226</v>
      </c>
      <c r="B178" s="137" t="s">
        <v>244</v>
      </c>
      <c r="C178" s="7"/>
      <c r="D178" s="11">
        <v>247940</v>
      </c>
      <c r="E178" s="101">
        <v>9</v>
      </c>
      <c r="F178" s="483">
        <f t="shared" si="12"/>
        <v>65018</v>
      </c>
      <c r="G178" s="484">
        <f t="shared" si="13"/>
        <v>67499</v>
      </c>
      <c r="H178" s="485">
        <v>42798</v>
      </c>
      <c r="I178" s="486">
        <v>41944</v>
      </c>
      <c r="J178" s="485">
        <v>2410</v>
      </c>
      <c r="K178" s="486">
        <v>3656</v>
      </c>
      <c r="L178" s="485">
        <v>19810</v>
      </c>
      <c r="M178" s="485"/>
      <c r="N178" s="485"/>
      <c r="O178" s="486">
        <v>21899</v>
      </c>
      <c r="P178" s="486"/>
      <c r="Q178" s="486"/>
      <c r="R178" s="485"/>
      <c r="S178" s="486"/>
      <c r="T178" s="483">
        <f t="shared" si="14"/>
        <v>0</v>
      </c>
      <c r="U178" s="484">
        <f t="shared" si="15"/>
        <v>0</v>
      </c>
      <c r="V178" s="485"/>
      <c r="W178" s="486"/>
      <c r="X178" s="485"/>
      <c r="Y178" s="486"/>
      <c r="Z178" s="485"/>
      <c r="AA178" s="485"/>
      <c r="AB178" s="485"/>
      <c r="AC178" s="486"/>
      <c r="AD178" s="486"/>
      <c r="AE178" s="486"/>
      <c r="AF178" s="485"/>
      <c r="AG178" s="486"/>
    </row>
    <row r="179" spans="1:33">
      <c r="A179" s="100" t="s">
        <v>226</v>
      </c>
      <c r="B179" s="137" t="s">
        <v>245</v>
      </c>
      <c r="C179" s="7"/>
      <c r="D179" s="11">
        <v>157711</v>
      </c>
      <c r="E179" s="101">
        <v>9</v>
      </c>
      <c r="F179" s="483">
        <f t="shared" si="12"/>
        <v>111398</v>
      </c>
      <c r="G179" s="484">
        <f t="shared" si="13"/>
        <v>109264</v>
      </c>
      <c r="H179" s="485">
        <v>44637</v>
      </c>
      <c r="I179" s="486">
        <v>39060</v>
      </c>
      <c r="J179" s="485">
        <v>4642</v>
      </c>
      <c r="K179" s="486">
        <v>4627</v>
      </c>
      <c r="L179" s="485">
        <v>62119</v>
      </c>
      <c r="M179" s="485"/>
      <c r="N179" s="485"/>
      <c r="O179" s="486">
        <v>65577</v>
      </c>
      <c r="P179" s="486"/>
      <c r="Q179" s="486"/>
      <c r="R179" s="485"/>
      <c r="S179" s="486"/>
      <c r="T179" s="483">
        <f t="shared" si="14"/>
        <v>0</v>
      </c>
      <c r="U179" s="484">
        <f t="shared" si="15"/>
        <v>0</v>
      </c>
      <c r="V179" s="485"/>
      <c r="W179" s="486"/>
      <c r="X179" s="485"/>
      <c r="Y179" s="486"/>
      <c r="Z179" s="485"/>
      <c r="AA179" s="485"/>
      <c r="AB179" s="485"/>
      <c r="AC179" s="486"/>
      <c r="AD179" s="486"/>
      <c r="AE179" s="486"/>
      <c r="AF179" s="485"/>
      <c r="AG179" s="486"/>
    </row>
    <row r="180" spans="1:33">
      <c r="A180" s="100" t="s">
        <v>226</v>
      </c>
      <c r="B180" s="137" t="s">
        <v>247</v>
      </c>
      <c r="C180" s="7"/>
      <c r="D180" s="11">
        <v>157483</v>
      </c>
      <c r="E180" s="101">
        <v>9</v>
      </c>
      <c r="F180" s="483">
        <f t="shared" si="12"/>
        <v>100233</v>
      </c>
      <c r="G180" s="484">
        <f t="shared" si="13"/>
        <v>96971</v>
      </c>
      <c r="H180" s="485">
        <v>52415</v>
      </c>
      <c r="I180" s="486">
        <v>50247</v>
      </c>
      <c r="J180" s="485">
        <v>5093</v>
      </c>
      <c r="K180" s="486">
        <v>5601</v>
      </c>
      <c r="L180" s="485">
        <v>42725</v>
      </c>
      <c r="M180" s="485"/>
      <c r="N180" s="485"/>
      <c r="O180" s="486">
        <v>41123</v>
      </c>
      <c r="P180" s="486"/>
      <c r="Q180" s="486"/>
      <c r="R180" s="485"/>
      <c r="S180" s="486"/>
      <c r="T180" s="483">
        <f t="shared" si="14"/>
        <v>0</v>
      </c>
      <c r="U180" s="484">
        <f t="shared" si="15"/>
        <v>0</v>
      </c>
      <c r="V180" s="485"/>
      <c r="W180" s="486"/>
      <c r="X180" s="485"/>
      <c r="Y180" s="486"/>
      <c r="Z180" s="485"/>
      <c r="AA180" s="485"/>
      <c r="AB180" s="485"/>
      <c r="AC180" s="486"/>
      <c r="AD180" s="486"/>
      <c r="AE180" s="486"/>
      <c r="AF180" s="485"/>
      <c r="AG180" s="486"/>
    </row>
    <row r="181" spans="1:33">
      <c r="A181" s="100" t="s">
        <v>226</v>
      </c>
      <c r="B181" s="137" t="s">
        <v>248</v>
      </c>
      <c r="C181" s="6"/>
      <c r="D181" s="11">
        <v>156790</v>
      </c>
      <c r="E181" s="101">
        <v>10</v>
      </c>
      <c r="F181" s="483">
        <f t="shared" si="12"/>
        <v>55266</v>
      </c>
      <c r="G181" s="484">
        <f t="shared" si="13"/>
        <v>55038</v>
      </c>
      <c r="H181" s="485">
        <v>19536</v>
      </c>
      <c r="I181" s="486">
        <v>19036</v>
      </c>
      <c r="J181" s="485">
        <v>2703</v>
      </c>
      <c r="K181" s="486">
        <v>2776</v>
      </c>
      <c r="L181" s="485">
        <v>33027</v>
      </c>
      <c r="M181" s="485"/>
      <c r="N181" s="485"/>
      <c r="O181" s="486">
        <v>33226</v>
      </c>
      <c r="P181" s="486"/>
      <c r="Q181" s="486"/>
      <c r="R181" s="485"/>
      <c r="S181" s="486"/>
      <c r="T181" s="483">
        <f t="shared" si="14"/>
        <v>0</v>
      </c>
      <c r="U181" s="484">
        <f t="shared" si="15"/>
        <v>0</v>
      </c>
      <c r="V181" s="485"/>
      <c r="W181" s="486"/>
      <c r="X181" s="485"/>
      <c r="Y181" s="486"/>
      <c r="Z181" s="485"/>
      <c r="AA181" s="485"/>
      <c r="AB181" s="485"/>
      <c r="AC181" s="486"/>
      <c r="AD181" s="486"/>
      <c r="AE181" s="486"/>
      <c r="AF181" s="485"/>
      <c r="AG181" s="486"/>
    </row>
    <row r="182" spans="1:33">
      <c r="A182" s="100" t="s">
        <v>226</v>
      </c>
      <c r="B182" s="137" t="s">
        <v>249</v>
      </c>
      <c r="C182" s="7"/>
      <c r="D182" s="11">
        <v>156851</v>
      </c>
      <c r="E182" s="101">
        <v>10</v>
      </c>
      <c r="F182" s="483">
        <f t="shared" si="12"/>
        <v>28589</v>
      </c>
      <c r="G182" s="484">
        <f t="shared" si="13"/>
        <v>27419</v>
      </c>
      <c r="H182" s="485">
        <v>14201</v>
      </c>
      <c r="I182" s="486">
        <v>12489</v>
      </c>
      <c r="J182" s="485">
        <v>2100</v>
      </c>
      <c r="K182" s="486">
        <v>2859</v>
      </c>
      <c r="L182" s="485">
        <v>12288</v>
      </c>
      <c r="M182" s="485"/>
      <c r="N182" s="485"/>
      <c r="O182" s="486">
        <v>12071</v>
      </c>
      <c r="P182" s="486"/>
      <c r="Q182" s="486"/>
      <c r="R182" s="485"/>
      <c r="S182" s="486"/>
      <c r="T182" s="483">
        <f t="shared" si="14"/>
        <v>0</v>
      </c>
      <c r="U182" s="484">
        <f t="shared" si="15"/>
        <v>0</v>
      </c>
      <c r="V182" s="485"/>
      <c r="W182" s="486"/>
      <c r="X182" s="485"/>
      <c r="Y182" s="486"/>
      <c r="Z182" s="485"/>
      <c r="AA182" s="485"/>
      <c r="AB182" s="485"/>
      <c r="AC182" s="486"/>
      <c r="AD182" s="486"/>
      <c r="AE182" s="486"/>
      <c r="AF182" s="485"/>
      <c r="AG182" s="486"/>
    </row>
    <row r="183" spans="1:33">
      <c r="A183" s="100" t="s">
        <v>226</v>
      </c>
      <c r="B183" s="137" t="s">
        <v>241</v>
      </c>
      <c r="C183" s="6"/>
      <c r="D183" s="11">
        <v>156860</v>
      </c>
      <c r="E183" s="101">
        <v>10</v>
      </c>
      <c r="F183" s="483">
        <f t="shared" si="12"/>
        <v>47436</v>
      </c>
      <c r="G183" s="484">
        <f t="shared" si="13"/>
        <v>46952</v>
      </c>
      <c r="H183" s="485">
        <v>26039</v>
      </c>
      <c r="I183" s="486">
        <v>24202</v>
      </c>
      <c r="J183" s="485">
        <v>1168</v>
      </c>
      <c r="K183" s="486">
        <v>1219</v>
      </c>
      <c r="L183" s="485">
        <v>20229</v>
      </c>
      <c r="M183" s="485"/>
      <c r="N183" s="485"/>
      <c r="O183" s="486">
        <v>21531</v>
      </c>
      <c r="P183" s="486"/>
      <c r="Q183" s="486"/>
      <c r="R183" s="485"/>
      <c r="S183" s="486"/>
      <c r="T183" s="483">
        <f t="shared" si="14"/>
        <v>0</v>
      </c>
      <c r="U183" s="484">
        <f t="shared" si="15"/>
        <v>0</v>
      </c>
      <c r="V183" s="485"/>
      <c r="W183" s="486"/>
      <c r="X183" s="485"/>
      <c r="Y183" s="486"/>
      <c r="Z183" s="485"/>
      <c r="AA183" s="485"/>
      <c r="AB183" s="485"/>
      <c r="AC183" s="486"/>
      <c r="AD183" s="486"/>
      <c r="AE183" s="486"/>
      <c r="AF183" s="485"/>
      <c r="AG183" s="486"/>
    </row>
    <row r="184" spans="1:33">
      <c r="A184" s="100" t="s">
        <v>226</v>
      </c>
      <c r="B184" s="137" t="s">
        <v>242</v>
      </c>
      <c r="C184" s="6"/>
      <c r="D184" s="11">
        <v>157304</v>
      </c>
      <c r="E184" s="101">
        <v>10</v>
      </c>
      <c r="F184" s="483">
        <f t="shared" si="12"/>
        <v>49570</v>
      </c>
      <c r="G184" s="484">
        <f t="shared" si="13"/>
        <v>49982</v>
      </c>
      <c r="H184" s="485">
        <v>23091</v>
      </c>
      <c r="I184" s="486">
        <v>21259</v>
      </c>
      <c r="J184" s="485">
        <v>3759</v>
      </c>
      <c r="K184" s="486">
        <v>5988</v>
      </c>
      <c r="L184" s="485">
        <v>22720</v>
      </c>
      <c r="M184" s="485"/>
      <c r="N184" s="485"/>
      <c r="O184" s="486">
        <v>22735</v>
      </c>
      <c r="P184" s="486"/>
      <c r="Q184" s="486"/>
      <c r="R184" s="485"/>
      <c r="S184" s="486"/>
      <c r="T184" s="483">
        <f t="shared" si="14"/>
        <v>0</v>
      </c>
      <c r="U184" s="484">
        <f t="shared" si="15"/>
        <v>0</v>
      </c>
      <c r="V184" s="485"/>
      <c r="W184" s="486"/>
      <c r="X184" s="485"/>
      <c r="Y184" s="486"/>
      <c r="Z184" s="485"/>
      <c r="AA184" s="485"/>
      <c r="AB184" s="485"/>
      <c r="AC184" s="486"/>
      <c r="AD184" s="486"/>
      <c r="AE184" s="486"/>
      <c r="AF184" s="485"/>
      <c r="AG184" s="486"/>
    </row>
    <row r="185" spans="1:33">
      <c r="A185" s="100" t="s">
        <v>226</v>
      </c>
      <c r="B185" s="137" t="s">
        <v>246</v>
      </c>
      <c r="C185" s="6"/>
      <c r="D185" s="11">
        <v>157739</v>
      </c>
      <c r="E185" s="101">
        <v>10</v>
      </c>
      <c r="F185" s="483">
        <f t="shared" si="12"/>
        <v>75044</v>
      </c>
      <c r="G185" s="484">
        <f t="shared" si="13"/>
        <v>54900</v>
      </c>
      <c r="H185" s="485">
        <v>34948</v>
      </c>
      <c r="I185" s="486">
        <v>30970</v>
      </c>
      <c r="J185" s="485">
        <v>20048</v>
      </c>
      <c r="K185" s="486"/>
      <c r="L185" s="485">
        <v>20048</v>
      </c>
      <c r="M185" s="485"/>
      <c r="N185" s="485"/>
      <c r="O185" s="486">
        <v>23930</v>
      </c>
      <c r="P185" s="486"/>
      <c r="Q185" s="486"/>
      <c r="R185" s="485"/>
      <c r="S185" s="486"/>
      <c r="T185" s="483">
        <f t="shared" si="14"/>
        <v>0</v>
      </c>
      <c r="U185" s="484">
        <f t="shared" si="15"/>
        <v>0</v>
      </c>
      <c r="V185" s="485"/>
      <c r="W185" s="486"/>
      <c r="X185" s="485"/>
      <c r="Y185" s="486"/>
      <c r="Z185" s="485"/>
      <c r="AA185" s="485"/>
      <c r="AB185" s="485"/>
      <c r="AC185" s="486"/>
      <c r="AD185" s="486"/>
      <c r="AE185" s="486"/>
      <c r="AF185" s="485"/>
      <c r="AG185" s="486"/>
    </row>
    <row r="186" spans="1:33">
      <c r="A186" s="100" t="s">
        <v>226</v>
      </c>
      <c r="B186" s="137" t="s">
        <v>250</v>
      </c>
      <c r="C186" s="7"/>
      <c r="D186" s="11">
        <v>157438</v>
      </c>
      <c r="E186" s="101">
        <v>12</v>
      </c>
      <c r="F186" s="483">
        <f t="shared" si="12"/>
        <v>70387</v>
      </c>
      <c r="G186" s="484">
        <f t="shared" si="13"/>
        <v>70417</v>
      </c>
      <c r="H186" s="485">
        <v>45629</v>
      </c>
      <c r="I186" s="486">
        <v>46248</v>
      </c>
      <c r="J186" s="485">
        <v>2535</v>
      </c>
      <c r="K186" s="486">
        <v>1814</v>
      </c>
      <c r="L186" s="485">
        <v>22223</v>
      </c>
      <c r="M186" s="485"/>
      <c r="N186" s="485"/>
      <c r="O186" s="486">
        <v>22355</v>
      </c>
      <c r="P186" s="486"/>
      <c r="Q186" s="486"/>
      <c r="R186" s="485"/>
      <c r="S186" s="486"/>
      <c r="T186" s="483">
        <f t="shared" si="14"/>
        <v>0</v>
      </c>
      <c r="U186" s="484">
        <f t="shared" si="15"/>
        <v>0</v>
      </c>
      <c r="V186" s="485"/>
      <c r="W186" s="486"/>
      <c r="X186" s="485"/>
      <c r="Y186" s="486"/>
      <c r="Z186" s="485"/>
      <c r="AA186" s="485"/>
      <c r="AB186" s="485"/>
      <c r="AC186" s="486"/>
      <c r="AD186" s="486"/>
      <c r="AE186" s="486"/>
      <c r="AF186" s="485"/>
      <c r="AG186" s="486"/>
    </row>
    <row r="187" spans="1:33">
      <c r="A187" s="100" t="s">
        <v>226</v>
      </c>
      <c r="B187" s="137" t="s">
        <v>251</v>
      </c>
      <c r="C187" s="7"/>
      <c r="D187" s="11">
        <v>156338</v>
      </c>
      <c r="E187" s="101">
        <v>12</v>
      </c>
      <c r="F187" s="483">
        <f t="shared" si="12"/>
        <v>77806</v>
      </c>
      <c r="G187" s="484">
        <f t="shared" si="13"/>
        <v>79544</v>
      </c>
      <c r="H187" s="485">
        <v>47783</v>
      </c>
      <c r="I187" s="486">
        <v>48771</v>
      </c>
      <c r="J187" s="485">
        <v>5360</v>
      </c>
      <c r="K187" s="486">
        <v>6013</v>
      </c>
      <c r="L187" s="485">
        <v>24663</v>
      </c>
      <c r="M187" s="485"/>
      <c r="N187" s="485"/>
      <c r="O187" s="486">
        <v>24760</v>
      </c>
      <c r="P187" s="486"/>
      <c r="Q187" s="486"/>
      <c r="R187" s="485"/>
      <c r="S187" s="486"/>
      <c r="T187" s="483">
        <f t="shared" si="14"/>
        <v>0</v>
      </c>
      <c r="U187" s="484">
        <f t="shared" si="15"/>
        <v>0</v>
      </c>
      <c r="V187" s="485"/>
      <c r="W187" s="486"/>
      <c r="X187" s="485"/>
      <c r="Y187" s="486"/>
      <c r="Z187" s="485"/>
      <c r="AA187" s="485"/>
      <c r="AB187" s="485"/>
      <c r="AC187" s="486"/>
      <c r="AD187" s="486"/>
      <c r="AE187" s="486"/>
      <c r="AF187" s="485"/>
      <c r="AG187" s="486"/>
    </row>
    <row r="188" spans="1:33" s="28" customFormat="1" ht="13.5" customHeight="1">
      <c r="A188" s="102" t="s">
        <v>252</v>
      </c>
      <c r="B188" s="103" t="s">
        <v>253</v>
      </c>
      <c r="C188" s="104"/>
      <c r="D188" s="105">
        <v>159391</v>
      </c>
      <c r="E188" s="105">
        <v>1</v>
      </c>
      <c r="F188" s="483">
        <f t="shared" si="12"/>
        <v>707259.00000000023</v>
      </c>
      <c r="G188" s="484">
        <f t="shared" si="13"/>
        <v>697351.99999999977</v>
      </c>
      <c r="H188" s="485">
        <v>685405.49157303397</v>
      </c>
      <c r="I188" s="498">
        <v>672267.39568345295</v>
      </c>
      <c r="J188" s="485"/>
      <c r="K188" s="486"/>
      <c r="L188" s="485">
        <v>21853.508426966298</v>
      </c>
      <c r="M188" s="485"/>
      <c r="N188" s="485"/>
      <c r="O188" s="486">
        <v>25084.6043165468</v>
      </c>
      <c r="P188" s="486"/>
      <c r="Q188" s="486"/>
      <c r="R188" s="485"/>
      <c r="S188" s="486"/>
      <c r="T188" s="483">
        <f t="shared" si="14"/>
        <v>133260.99999999953</v>
      </c>
      <c r="U188" s="484">
        <f t="shared" si="15"/>
        <v>137669.49999999959</v>
      </c>
      <c r="V188" s="485">
        <v>127476.066575822</v>
      </c>
      <c r="W188" s="486">
        <v>129604.502929115</v>
      </c>
      <c r="X188" s="485"/>
      <c r="Y188" s="486"/>
      <c r="Z188" s="485">
        <v>5784.9334241775396</v>
      </c>
      <c r="AA188" s="485"/>
      <c r="AB188" s="485"/>
      <c r="AC188" s="486">
        <v>8064.9970708845904</v>
      </c>
      <c r="AD188" s="486"/>
      <c r="AE188" s="486"/>
      <c r="AF188" s="485"/>
      <c r="AG188" s="486"/>
    </row>
    <row r="189" spans="1:33">
      <c r="A189" s="102" t="s">
        <v>252</v>
      </c>
      <c r="B189" s="103" t="s">
        <v>254</v>
      </c>
      <c r="C189" s="104"/>
      <c r="D189" s="105">
        <v>159647</v>
      </c>
      <c r="E189" s="105">
        <v>2</v>
      </c>
      <c r="F189" s="483">
        <f t="shared" si="12"/>
        <v>273755</v>
      </c>
      <c r="G189" s="484">
        <f t="shared" si="13"/>
        <v>273800.00000000017</v>
      </c>
      <c r="H189" s="485">
        <v>235104.339028777</v>
      </c>
      <c r="I189" s="498">
        <v>237007.931112622</v>
      </c>
      <c r="J189" s="485"/>
      <c r="K189" s="486"/>
      <c r="L189" s="485">
        <v>38650.660971222998</v>
      </c>
      <c r="M189" s="485"/>
      <c r="N189" s="485"/>
      <c r="O189" s="486">
        <v>36792.068887378198</v>
      </c>
      <c r="P189" s="486"/>
      <c r="Q189" s="486"/>
      <c r="R189" s="485"/>
      <c r="S189" s="486"/>
      <c r="T189" s="483">
        <f t="shared" si="14"/>
        <v>24664.999999999978</v>
      </c>
      <c r="U189" s="484">
        <f t="shared" si="15"/>
        <v>23077.999999999949</v>
      </c>
      <c r="V189" s="485">
        <v>19296.589769307899</v>
      </c>
      <c r="W189" s="486">
        <v>18266.093360995801</v>
      </c>
      <c r="X189" s="485"/>
      <c r="Y189" s="486"/>
      <c r="Z189" s="485">
        <v>5368.4102306920804</v>
      </c>
      <c r="AA189" s="485"/>
      <c r="AB189" s="485"/>
      <c r="AC189" s="486">
        <v>4811.9066390041498</v>
      </c>
      <c r="AD189" s="486"/>
      <c r="AE189" s="486"/>
      <c r="AF189" s="485"/>
      <c r="AG189" s="486"/>
    </row>
    <row r="190" spans="1:33">
      <c r="A190" s="102" t="s">
        <v>252</v>
      </c>
      <c r="B190" s="103" t="s">
        <v>255</v>
      </c>
      <c r="C190" s="104"/>
      <c r="D190" s="105">
        <v>160658</v>
      </c>
      <c r="E190" s="105">
        <v>2</v>
      </c>
      <c r="F190" s="483">
        <f t="shared" si="12"/>
        <v>409857.99999999948</v>
      </c>
      <c r="G190" s="484">
        <f t="shared" si="13"/>
        <v>402896.00000000041</v>
      </c>
      <c r="H190" s="485">
        <v>370454.210864903</v>
      </c>
      <c r="I190" s="498">
        <v>358651.903104253</v>
      </c>
      <c r="J190" s="485"/>
      <c r="K190" s="486"/>
      <c r="L190" s="485">
        <v>39403.7891350965</v>
      </c>
      <c r="M190" s="485"/>
      <c r="N190" s="485"/>
      <c r="O190" s="486">
        <v>44244.096895747403</v>
      </c>
      <c r="P190" s="486"/>
      <c r="Q190" s="486"/>
      <c r="R190" s="485"/>
      <c r="S190" s="486"/>
      <c r="T190" s="483">
        <f t="shared" si="14"/>
        <v>27513.99999999996</v>
      </c>
      <c r="U190" s="484">
        <f t="shared" si="15"/>
        <v>32602.000000000018</v>
      </c>
      <c r="V190" s="485">
        <v>24194.060331825</v>
      </c>
      <c r="W190" s="486">
        <v>27878.036734693898</v>
      </c>
      <c r="X190" s="485"/>
      <c r="Y190" s="486"/>
      <c r="Z190" s="485">
        <v>3319.9396681749599</v>
      </c>
      <c r="AA190" s="485"/>
      <c r="AB190" s="485"/>
      <c r="AC190" s="486">
        <v>4723.9632653061199</v>
      </c>
      <c r="AD190" s="486"/>
      <c r="AE190" s="486"/>
      <c r="AF190" s="485"/>
      <c r="AG190" s="486"/>
    </row>
    <row r="191" spans="1:33">
      <c r="A191" s="102" t="s">
        <v>252</v>
      </c>
      <c r="B191" s="103" t="s">
        <v>256</v>
      </c>
      <c r="C191" s="104"/>
      <c r="D191" s="105">
        <v>159939</v>
      </c>
      <c r="E191" s="105">
        <v>2</v>
      </c>
      <c r="F191" s="483">
        <f t="shared" si="12"/>
        <v>162725.00000000009</v>
      </c>
      <c r="G191" s="484">
        <f t="shared" si="13"/>
        <v>163642.99999999951</v>
      </c>
      <c r="H191" s="485">
        <v>137330.03787878799</v>
      </c>
      <c r="I191" s="498">
        <v>136929.518117295</v>
      </c>
      <c r="J191" s="485"/>
      <c r="K191" s="486"/>
      <c r="L191" s="485">
        <v>25394.962121212098</v>
      </c>
      <c r="M191" s="485"/>
      <c r="N191" s="485"/>
      <c r="O191" s="486">
        <v>26713.481882704498</v>
      </c>
      <c r="P191" s="486"/>
      <c r="Q191" s="486"/>
      <c r="R191" s="485"/>
      <c r="S191" s="486"/>
      <c r="T191" s="483">
        <f t="shared" si="14"/>
        <v>22356.999999999989</v>
      </c>
      <c r="U191" s="484">
        <f t="shared" si="15"/>
        <v>22842.99999999996</v>
      </c>
      <c r="V191" s="485">
        <v>18514.701691896698</v>
      </c>
      <c r="W191" s="486">
        <v>18461.871543264901</v>
      </c>
      <c r="X191" s="485"/>
      <c r="Y191" s="486"/>
      <c r="Z191" s="485">
        <v>3842.2983081032899</v>
      </c>
      <c r="AA191" s="485"/>
      <c r="AB191" s="485"/>
      <c r="AC191" s="486">
        <v>4381.1284567350604</v>
      </c>
      <c r="AD191" s="486"/>
      <c r="AE191" s="486"/>
      <c r="AF191" s="485"/>
      <c r="AG191" s="486"/>
    </row>
    <row r="192" spans="1:33">
      <c r="A192" s="102" t="s">
        <v>252</v>
      </c>
      <c r="B192" s="103" t="s">
        <v>262</v>
      </c>
      <c r="C192" s="107"/>
      <c r="D192" s="105">
        <v>159717</v>
      </c>
      <c r="E192" s="105">
        <v>3</v>
      </c>
      <c r="F192" s="483">
        <f t="shared" si="12"/>
        <v>183652</v>
      </c>
      <c r="G192" s="484">
        <f t="shared" si="13"/>
        <v>186338.99999999959</v>
      </c>
      <c r="H192" s="485">
        <v>139644.35876840699</v>
      </c>
      <c r="I192" s="498">
        <v>142010.843729263</v>
      </c>
      <c r="J192" s="485"/>
      <c r="K192" s="486"/>
      <c r="L192" s="485">
        <v>44007.641231592999</v>
      </c>
      <c r="M192" s="485"/>
      <c r="N192" s="485"/>
      <c r="O192" s="486">
        <v>44328.156270736603</v>
      </c>
      <c r="P192" s="486"/>
      <c r="Q192" s="486"/>
      <c r="R192" s="485"/>
      <c r="S192" s="486"/>
      <c r="T192" s="483">
        <f t="shared" si="14"/>
        <v>11668</v>
      </c>
      <c r="U192" s="484">
        <f t="shared" si="15"/>
        <v>10635</v>
      </c>
      <c r="V192" s="485">
        <v>5727.0631364562096</v>
      </c>
      <c r="W192" s="486">
        <v>4688.0816326530603</v>
      </c>
      <c r="X192" s="485"/>
      <c r="Y192" s="486"/>
      <c r="Z192" s="485">
        <v>5940.9368635437904</v>
      </c>
      <c r="AA192" s="485"/>
      <c r="AB192" s="485"/>
      <c r="AC192" s="486">
        <v>5946.9183673469397</v>
      </c>
      <c r="AD192" s="486"/>
      <c r="AE192" s="486"/>
      <c r="AF192" s="485"/>
      <c r="AG192" s="486"/>
    </row>
    <row r="193" spans="1:33">
      <c r="A193" s="102" t="s">
        <v>252</v>
      </c>
      <c r="B193" s="103" t="s">
        <v>257</v>
      </c>
      <c r="C193" s="104"/>
      <c r="D193" s="105">
        <v>160612</v>
      </c>
      <c r="E193" s="105">
        <v>3</v>
      </c>
      <c r="F193" s="483">
        <f t="shared" si="12"/>
        <v>320141.00000000023</v>
      </c>
      <c r="G193" s="484">
        <f t="shared" si="13"/>
        <v>325019.99999999977</v>
      </c>
      <c r="H193" s="485">
        <v>261977.517091596</v>
      </c>
      <c r="I193" s="498">
        <v>270116.75134433497</v>
      </c>
      <c r="J193" s="485"/>
      <c r="K193" s="486"/>
      <c r="L193" s="485">
        <v>58163.482908404199</v>
      </c>
      <c r="M193" s="485"/>
      <c r="N193" s="485"/>
      <c r="O193" s="486">
        <v>54903.2486556648</v>
      </c>
      <c r="P193" s="486"/>
      <c r="Q193" s="486"/>
      <c r="R193" s="485"/>
      <c r="S193" s="486"/>
      <c r="T193" s="483">
        <f t="shared" si="14"/>
        <v>16179.000000000011</v>
      </c>
      <c r="U193" s="484">
        <f t="shared" si="15"/>
        <v>16667.000000000029</v>
      </c>
      <c r="V193" s="485">
        <v>10754.388042204</v>
      </c>
      <c r="W193" s="486">
        <v>11636.8693693694</v>
      </c>
      <c r="X193" s="485"/>
      <c r="Y193" s="486"/>
      <c r="Z193" s="485">
        <v>5424.6119577960098</v>
      </c>
      <c r="AA193" s="485"/>
      <c r="AB193" s="485"/>
      <c r="AC193" s="486">
        <v>5030.1306306306296</v>
      </c>
      <c r="AD193" s="486"/>
      <c r="AE193" s="486"/>
      <c r="AF193" s="485"/>
      <c r="AG193" s="486"/>
    </row>
    <row r="194" spans="1:33">
      <c r="A194" s="102" t="s">
        <v>252</v>
      </c>
      <c r="B194" s="103" t="s">
        <v>258</v>
      </c>
      <c r="C194" s="104"/>
      <c r="D194" s="105">
        <v>160621</v>
      </c>
      <c r="E194" s="105">
        <v>3</v>
      </c>
      <c r="F194" s="483">
        <f t="shared" si="12"/>
        <v>147575.99999999991</v>
      </c>
      <c r="G194" s="484">
        <f t="shared" si="13"/>
        <v>154319.0000000002</v>
      </c>
      <c r="H194" s="485">
        <v>136587.466865227</v>
      </c>
      <c r="I194" s="498">
        <v>138649.00466451401</v>
      </c>
      <c r="J194" s="485"/>
      <c r="K194" s="486"/>
      <c r="L194" s="485">
        <v>10988.533134772901</v>
      </c>
      <c r="M194" s="485"/>
      <c r="N194" s="485"/>
      <c r="O194" s="486">
        <v>15669.995335486199</v>
      </c>
      <c r="P194" s="486"/>
      <c r="Q194" s="486"/>
      <c r="R194" s="485"/>
      <c r="S194" s="486"/>
      <c r="T194" s="483">
        <f t="shared" si="14"/>
        <v>18602.00000000004</v>
      </c>
      <c r="U194" s="484">
        <f t="shared" si="15"/>
        <v>16591.99999999996</v>
      </c>
      <c r="V194" s="485">
        <v>16516.466494845401</v>
      </c>
      <c r="W194" s="486">
        <v>14301.387755102</v>
      </c>
      <c r="X194" s="485"/>
      <c r="Y194" s="486"/>
      <c r="Z194" s="485">
        <v>2085.5335051546399</v>
      </c>
      <c r="AA194" s="485"/>
      <c r="AB194" s="485"/>
      <c r="AC194" s="486">
        <v>2290.61224489796</v>
      </c>
      <c r="AD194" s="486"/>
      <c r="AE194" s="486"/>
      <c r="AF194" s="485"/>
      <c r="AG194" s="486"/>
    </row>
    <row r="195" spans="1:33">
      <c r="A195" s="102" t="s">
        <v>252</v>
      </c>
      <c r="B195" s="103" t="s">
        <v>259</v>
      </c>
      <c r="C195" s="104"/>
      <c r="D195" s="105">
        <v>159993</v>
      </c>
      <c r="E195" s="105">
        <v>3</v>
      </c>
      <c r="F195" s="483">
        <f t="shared" si="12"/>
        <v>193176.00000000029</v>
      </c>
      <c r="G195" s="484">
        <f t="shared" si="13"/>
        <v>191309.99999999951</v>
      </c>
      <c r="H195" s="485">
        <v>140479.029432879</v>
      </c>
      <c r="I195" s="498">
        <v>139134.545454545</v>
      </c>
      <c r="J195" s="485"/>
      <c r="K195" s="486"/>
      <c r="L195" s="485">
        <v>52696.970567121301</v>
      </c>
      <c r="M195" s="485"/>
      <c r="N195" s="485"/>
      <c r="O195" s="486">
        <v>52175.4545454545</v>
      </c>
      <c r="P195" s="486"/>
      <c r="Q195" s="486"/>
      <c r="R195" s="485"/>
      <c r="S195" s="486"/>
      <c r="T195" s="483">
        <f t="shared" si="14"/>
        <v>32060</v>
      </c>
      <c r="U195" s="484">
        <f t="shared" si="15"/>
        <v>33018</v>
      </c>
      <c r="V195" s="485">
        <v>15070.4577464789</v>
      </c>
      <c r="W195" s="486">
        <v>13938.5778491172</v>
      </c>
      <c r="X195" s="485"/>
      <c r="Y195" s="486"/>
      <c r="Z195" s="485">
        <v>16989.5422535211</v>
      </c>
      <c r="AA195" s="485"/>
      <c r="AB195" s="485"/>
      <c r="AC195" s="486">
        <v>19079.422150882801</v>
      </c>
      <c r="AD195" s="486"/>
      <c r="AE195" s="486"/>
      <c r="AF195" s="485"/>
      <c r="AG195" s="486"/>
    </row>
    <row r="196" spans="1:33">
      <c r="A196" s="102" t="s">
        <v>252</v>
      </c>
      <c r="B196" s="103" t="s">
        <v>260</v>
      </c>
      <c r="C196" s="104"/>
      <c r="D196" s="105">
        <v>159009</v>
      </c>
      <c r="E196" s="105">
        <v>4</v>
      </c>
      <c r="F196" s="483">
        <f t="shared" si="12"/>
        <v>117072.0000000002</v>
      </c>
      <c r="G196" s="484">
        <f t="shared" si="13"/>
        <v>121264.99999999967</v>
      </c>
      <c r="H196" s="485">
        <v>102047.08013937301</v>
      </c>
      <c r="I196" s="498">
        <v>111761.892935982</v>
      </c>
      <c r="J196" s="485"/>
      <c r="K196" s="486"/>
      <c r="L196" s="485">
        <v>15024.9198606272</v>
      </c>
      <c r="M196" s="485"/>
      <c r="N196" s="485"/>
      <c r="O196" s="486">
        <v>9503.1070640176604</v>
      </c>
      <c r="P196" s="486"/>
      <c r="Q196" s="486"/>
      <c r="R196" s="485"/>
      <c r="S196" s="486"/>
      <c r="T196" s="483">
        <f t="shared" si="14"/>
        <v>19303.000000000051</v>
      </c>
      <c r="U196" s="484">
        <f t="shared" si="15"/>
        <v>19113.999999999982</v>
      </c>
      <c r="V196" s="485">
        <v>11789.8562874252</v>
      </c>
      <c r="W196" s="486">
        <v>15582.6744868035</v>
      </c>
      <c r="X196" s="485"/>
      <c r="Y196" s="486"/>
      <c r="Z196" s="485">
        <v>7513.1437125748498</v>
      </c>
      <c r="AA196" s="485"/>
      <c r="AB196" s="485"/>
      <c r="AC196" s="486">
        <v>3531.3255131964802</v>
      </c>
      <c r="AD196" s="486"/>
      <c r="AE196" s="486"/>
      <c r="AF196" s="485"/>
      <c r="AG196" s="486"/>
    </row>
    <row r="197" spans="1:33">
      <c r="A197" s="102" t="s">
        <v>252</v>
      </c>
      <c r="B197" s="103" t="s">
        <v>261</v>
      </c>
      <c r="C197" s="104"/>
      <c r="D197" s="105">
        <v>159416</v>
      </c>
      <c r="E197" s="105">
        <v>4</v>
      </c>
      <c r="F197" s="483">
        <f t="shared" si="12"/>
        <v>58511</v>
      </c>
      <c r="G197" s="484">
        <f t="shared" si="13"/>
        <v>58957</v>
      </c>
      <c r="H197" s="485">
        <v>44531.770935960601</v>
      </c>
      <c r="I197" s="498">
        <v>40382.772727272699</v>
      </c>
      <c r="J197" s="485"/>
      <c r="K197" s="486"/>
      <c r="L197" s="485">
        <v>13979.2290640394</v>
      </c>
      <c r="M197" s="485"/>
      <c r="N197" s="485"/>
      <c r="O197" s="486">
        <v>18574.227272727301</v>
      </c>
      <c r="P197" s="486"/>
      <c r="Q197" s="486"/>
      <c r="R197" s="485"/>
      <c r="S197" s="486"/>
      <c r="T197" s="483">
        <f t="shared" si="14"/>
        <v>47341</v>
      </c>
      <c r="U197" s="484">
        <f t="shared" si="15"/>
        <v>70206</v>
      </c>
      <c r="V197" s="485">
        <v>20514.433333333302</v>
      </c>
      <c r="W197" s="486">
        <v>26258.149606299201</v>
      </c>
      <c r="X197" s="485"/>
      <c r="Y197" s="486"/>
      <c r="Z197" s="485">
        <v>26826.566666666698</v>
      </c>
      <c r="AA197" s="485"/>
      <c r="AB197" s="485"/>
      <c r="AC197" s="486">
        <v>43947.850393700799</v>
      </c>
      <c r="AD197" s="486"/>
      <c r="AE197" s="486"/>
      <c r="AF197" s="485"/>
      <c r="AG197" s="486"/>
    </row>
    <row r="198" spans="1:33">
      <c r="A198" s="102" t="s">
        <v>252</v>
      </c>
      <c r="B198" s="103" t="s">
        <v>263</v>
      </c>
      <c r="C198" s="104"/>
      <c r="D198" s="105">
        <v>159966</v>
      </c>
      <c r="E198" s="105">
        <v>4</v>
      </c>
      <c r="F198" s="483">
        <f t="shared" si="12"/>
        <v>150856.99999999988</v>
      </c>
      <c r="G198" s="484">
        <f t="shared" si="13"/>
        <v>155423.99999999991</v>
      </c>
      <c r="H198" s="485">
        <v>102052.06556733399</v>
      </c>
      <c r="I198" s="498">
        <v>105613.133786848</v>
      </c>
      <c r="J198" s="485"/>
      <c r="K198" s="486"/>
      <c r="L198" s="485">
        <v>48804.934432665897</v>
      </c>
      <c r="M198" s="485"/>
      <c r="N198" s="485"/>
      <c r="O198" s="486">
        <v>49810.866213151901</v>
      </c>
      <c r="P198" s="486"/>
      <c r="Q198" s="486"/>
      <c r="R198" s="485"/>
      <c r="S198" s="486"/>
      <c r="T198" s="483">
        <f t="shared" si="14"/>
        <v>10532</v>
      </c>
      <c r="U198" s="484">
        <f t="shared" si="15"/>
        <v>10075</v>
      </c>
      <c r="V198" s="485">
        <v>4855.8753894081001</v>
      </c>
      <c r="W198" s="486">
        <v>4520.8333333333303</v>
      </c>
      <c r="X198" s="485"/>
      <c r="Y198" s="486"/>
      <c r="Z198" s="485">
        <v>5676.1246105918999</v>
      </c>
      <c r="AA198" s="485"/>
      <c r="AB198" s="485"/>
      <c r="AC198" s="486">
        <v>5554.1666666666697</v>
      </c>
      <c r="AD198" s="486"/>
      <c r="AE198" s="486"/>
      <c r="AF198" s="485"/>
      <c r="AG198" s="486"/>
    </row>
    <row r="199" spans="1:33">
      <c r="A199" s="102" t="s">
        <v>252</v>
      </c>
      <c r="B199" s="103" t="s">
        <v>264</v>
      </c>
      <c r="C199" s="104"/>
      <c r="D199" s="105">
        <v>160038</v>
      </c>
      <c r="E199" s="105">
        <v>4</v>
      </c>
      <c r="F199" s="483">
        <f t="shared" si="12"/>
        <v>226744</v>
      </c>
      <c r="G199" s="484">
        <f t="shared" si="13"/>
        <v>239272</v>
      </c>
      <c r="H199" s="485">
        <v>145873.044649185</v>
      </c>
      <c r="I199" s="498">
        <v>158505.96075010899</v>
      </c>
      <c r="J199" s="485"/>
      <c r="K199" s="486"/>
      <c r="L199" s="485">
        <v>80870.955350814998</v>
      </c>
      <c r="M199" s="485"/>
      <c r="N199" s="485"/>
      <c r="O199" s="486">
        <v>80766.039249890993</v>
      </c>
      <c r="P199" s="486"/>
      <c r="Q199" s="486"/>
      <c r="R199" s="485"/>
      <c r="S199" s="486"/>
      <c r="T199" s="483">
        <f t="shared" si="14"/>
        <v>15622</v>
      </c>
      <c r="U199" s="484">
        <f t="shared" si="15"/>
        <v>15274.999999999989</v>
      </c>
      <c r="V199" s="485">
        <v>3852</v>
      </c>
      <c r="W199" s="486">
        <v>4324.3309859154897</v>
      </c>
      <c r="X199" s="485"/>
      <c r="Y199" s="486"/>
      <c r="Z199" s="485">
        <v>11770</v>
      </c>
      <c r="AA199" s="485"/>
      <c r="AB199" s="485"/>
      <c r="AC199" s="486">
        <v>10950.6690140845</v>
      </c>
      <c r="AD199" s="486"/>
      <c r="AE199" s="486"/>
      <c r="AF199" s="485"/>
      <c r="AG199" s="486"/>
    </row>
    <row r="200" spans="1:33">
      <c r="A200" s="106" t="s">
        <v>252</v>
      </c>
      <c r="B200" s="103" t="s">
        <v>265</v>
      </c>
      <c r="C200" s="107"/>
      <c r="D200" s="105">
        <v>160630</v>
      </c>
      <c r="E200" s="105">
        <v>5</v>
      </c>
      <c r="F200" s="483">
        <f t="shared" si="12"/>
        <v>49569.999999999964</v>
      </c>
      <c r="G200" s="484">
        <f t="shared" si="13"/>
        <v>48565.000000000015</v>
      </c>
      <c r="H200" s="485">
        <v>43476.517073170697</v>
      </c>
      <c r="I200" s="498">
        <v>41698.227459016402</v>
      </c>
      <c r="J200" s="485"/>
      <c r="K200" s="486"/>
      <c r="L200" s="485">
        <v>6093.4829268292697</v>
      </c>
      <c r="M200" s="485"/>
      <c r="N200" s="485"/>
      <c r="O200" s="486">
        <v>6866.7725409836103</v>
      </c>
      <c r="P200" s="486"/>
      <c r="Q200" s="486"/>
      <c r="R200" s="485"/>
      <c r="S200" s="486"/>
      <c r="T200" s="483">
        <f t="shared" si="14"/>
        <v>9558</v>
      </c>
      <c r="U200" s="484">
        <f t="shared" si="15"/>
        <v>9486</v>
      </c>
      <c r="V200" s="485">
        <v>8230.5</v>
      </c>
      <c r="W200" s="486">
        <v>8218.4741379310308</v>
      </c>
      <c r="X200" s="485"/>
      <c r="Y200" s="486"/>
      <c r="Z200" s="485">
        <v>1327.5</v>
      </c>
      <c r="AA200" s="485"/>
      <c r="AB200" s="485"/>
      <c r="AC200" s="486">
        <v>1267.5258620689699</v>
      </c>
      <c r="AD200" s="486"/>
      <c r="AE200" s="486"/>
      <c r="AF200" s="485"/>
      <c r="AG200" s="486"/>
    </row>
    <row r="201" spans="1:33">
      <c r="A201" s="102" t="s">
        <v>252</v>
      </c>
      <c r="B201" s="103" t="s">
        <v>266</v>
      </c>
      <c r="C201" s="107"/>
      <c r="D201" s="105">
        <v>159382</v>
      </c>
      <c r="E201" s="110">
        <v>6</v>
      </c>
      <c r="F201" s="483">
        <f t="shared" si="12"/>
        <v>72677</v>
      </c>
      <c r="G201" s="484">
        <f t="shared" si="13"/>
        <v>74440</v>
      </c>
      <c r="H201" s="485">
        <v>46862.1296</v>
      </c>
      <c r="I201" s="498">
        <v>46504.698181818203</v>
      </c>
      <c r="J201" s="485"/>
      <c r="K201" s="486"/>
      <c r="L201" s="485">
        <v>25814.8704</v>
      </c>
      <c r="M201" s="485"/>
      <c r="N201" s="485"/>
      <c r="O201" s="486">
        <v>27935.301818181801</v>
      </c>
      <c r="P201" s="486"/>
      <c r="Q201" s="486"/>
      <c r="R201" s="485"/>
      <c r="S201" s="486"/>
      <c r="T201" s="483">
        <f t="shared" si="14"/>
        <v>0</v>
      </c>
      <c r="U201" s="484">
        <f t="shared" si="15"/>
        <v>0</v>
      </c>
      <c r="V201" s="485"/>
      <c r="W201" s="486"/>
      <c r="X201" s="485"/>
      <c r="Y201" s="486"/>
      <c r="Z201" s="485"/>
      <c r="AA201" s="485"/>
      <c r="AB201" s="485"/>
      <c r="AC201" s="486"/>
      <c r="AD201" s="486"/>
      <c r="AE201" s="486"/>
      <c r="AF201" s="485"/>
      <c r="AG201" s="486"/>
    </row>
    <row r="202" spans="1:33">
      <c r="A202" s="102" t="s">
        <v>252</v>
      </c>
      <c r="B202" s="108" t="s">
        <v>267</v>
      </c>
      <c r="C202" s="109"/>
      <c r="D202" s="105">
        <v>437103</v>
      </c>
      <c r="E202" s="110">
        <v>8</v>
      </c>
      <c r="F202" s="483">
        <f t="shared" si="12"/>
        <v>161547.99999999959</v>
      </c>
      <c r="G202" s="484">
        <f t="shared" si="13"/>
        <v>167576.99999999988</v>
      </c>
      <c r="H202" s="485">
        <v>140612.93079096</v>
      </c>
      <c r="I202" s="498">
        <v>138734.77124182999</v>
      </c>
      <c r="J202" s="485"/>
      <c r="K202" s="486"/>
      <c r="L202" s="485">
        <v>20935.069209039601</v>
      </c>
      <c r="M202" s="485"/>
      <c r="N202" s="485"/>
      <c r="O202" s="486">
        <v>28842.228758169898</v>
      </c>
      <c r="P202" s="486"/>
      <c r="Q202" s="486"/>
      <c r="R202" s="485"/>
      <c r="S202" s="486"/>
      <c r="T202" s="483">
        <f t="shared" si="14"/>
        <v>0</v>
      </c>
      <c r="U202" s="484">
        <f t="shared" si="15"/>
        <v>0</v>
      </c>
      <c r="V202" s="485"/>
      <c r="W202" s="486"/>
      <c r="X202" s="485"/>
      <c r="Y202" s="486"/>
      <c r="Z202" s="485"/>
      <c r="AA202" s="485"/>
      <c r="AB202" s="485"/>
      <c r="AC202" s="486"/>
      <c r="AD202" s="486"/>
      <c r="AE202" s="486"/>
      <c r="AF202" s="485"/>
      <c r="AG202" s="486"/>
    </row>
    <row r="203" spans="1:33">
      <c r="A203" s="102" t="s">
        <v>252</v>
      </c>
      <c r="B203" s="103" t="s">
        <v>268</v>
      </c>
      <c r="C203" s="104" t="s">
        <v>967</v>
      </c>
      <c r="D203" s="105">
        <v>158431</v>
      </c>
      <c r="E203" s="110">
        <v>8</v>
      </c>
      <c r="F203" s="483">
        <f t="shared" si="12"/>
        <v>136287</v>
      </c>
      <c r="G203" s="484">
        <f t="shared" si="13"/>
        <v>140946</v>
      </c>
      <c r="H203" s="485">
        <v>92358.877518130495</v>
      </c>
      <c r="I203" s="498">
        <v>93499.980246913605</v>
      </c>
      <c r="J203" s="485"/>
      <c r="K203" s="486"/>
      <c r="L203" s="485">
        <v>43928.122481869497</v>
      </c>
      <c r="M203" s="485"/>
      <c r="N203" s="485"/>
      <c r="O203" s="486">
        <v>47446.019753086402</v>
      </c>
      <c r="P203" s="486"/>
      <c r="Q203" s="486"/>
      <c r="R203" s="485"/>
      <c r="S203" s="486"/>
      <c r="T203" s="483">
        <f t="shared" si="14"/>
        <v>0</v>
      </c>
      <c r="U203" s="484">
        <f t="shared" si="15"/>
        <v>0</v>
      </c>
      <c r="V203" s="485"/>
      <c r="W203" s="486"/>
      <c r="X203" s="485"/>
      <c r="Y203" s="486"/>
      <c r="Z203" s="485"/>
      <c r="AA203" s="485"/>
      <c r="AB203" s="485"/>
      <c r="AC203" s="486"/>
      <c r="AD203" s="486"/>
      <c r="AE203" s="486"/>
      <c r="AF203" s="485"/>
      <c r="AG203" s="486"/>
    </row>
    <row r="204" spans="1:33">
      <c r="A204" s="102" t="s">
        <v>252</v>
      </c>
      <c r="B204" s="108" t="s">
        <v>269</v>
      </c>
      <c r="C204" s="109"/>
      <c r="D204" s="105">
        <v>158662</v>
      </c>
      <c r="E204" s="110">
        <v>8</v>
      </c>
      <c r="F204" s="483">
        <f t="shared" si="12"/>
        <v>278208.00000000041</v>
      </c>
      <c r="G204" s="484">
        <f t="shared" si="13"/>
        <v>275947.99999999988</v>
      </c>
      <c r="H204" s="485">
        <v>228557.99798725301</v>
      </c>
      <c r="I204" s="498">
        <v>224389.805770584</v>
      </c>
      <c r="J204" s="485"/>
      <c r="K204" s="486"/>
      <c r="L204" s="485">
        <v>49650.002012747398</v>
      </c>
      <c r="M204" s="485"/>
      <c r="N204" s="485"/>
      <c r="O204" s="486">
        <v>51558.194229415902</v>
      </c>
      <c r="P204" s="486"/>
      <c r="Q204" s="486"/>
      <c r="R204" s="485"/>
      <c r="S204" s="486"/>
      <c r="T204" s="483">
        <f t="shared" si="14"/>
        <v>0</v>
      </c>
      <c r="U204" s="484">
        <f t="shared" si="15"/>
        <v>0</v>
      </c>
      <c r="V204" s="485"/>
      <c r="W204" s="486"/>
      <c r="X204" s="485"/>
      <c r="Y204" s="486"/>
      <c r="Z204" s="485"/>
      <c r="AA204" s="485"/>
      <c r="AB204" s="485"/>
      <c r="AC204" s="486"/>
      <c r="AD204" s="486"/>
      <c r="AE204" s="486"/>
      <c r="AF204" s="485"/>
      <c r="AG204" s="486"/>
    </row>
    <row r="205" spans="1:33">
      <c r="A205" s="102" t="s">
        <v>252</v>
      </c>
      <c r="B205" s="103" t="s">
        <v>270</v>
      </c>
      <c r="C205" s="107"/>
      <c r="D205" s="105">
        <v>440624</v>
      </c>
      <c r="E205" s="110">
        <v>9</v>
      </c>
      <c r="F205" s="483">
        <f t="shared" si="12"/>
        <v>73594</v>
      </c>
      <c r="G205" s="484">
        <f t="shared" si="13"/>
        <v>80300</v>
      </c>
      <c r="H205" s="485">
        <v>55535.679097461601</v>
      </c>
      <c r="I205" s="498">
        <v>57146.389385047201</v>
      </c>
      <c r="J205" s="485"/>
      <c r="K205" s="486"/>
      <c r="L205" s="485">
        <v>18058.320902538399</v>
      </c>
      <c r="M205" s="485"/>
      <c r="N205" s="485"/>
      <c r="O205" s="486">
        <v>23153.610614952799</v>
      </c>
      <c r="P205" s="486"/>
      <c r="Q205" s="486"/>
      <c r="R205" s="485"/>
      <c r="S205" s="486"/>
      <c r="T205" s="483">
        <f t="shared" si="14"/>
        <v>0</v>
      </c>
      <c r="U205" s="484">
        <f t="shared" si="15"/>
        <v>0</v>
      </c>
      <c r="V205" s="485"/>
      <c r="W205" s="486"/>
      <c r="X205" s="485"/>
      <c r="Y205" s="486"/>
      <c r="Z205" s="485"/>
      <c r="AA205" s="485"/>
      <c r="AB205" s="485"/>
      <c r="AC205" s="486"/>
      <c r="AD205" s="486"/>
      <c r="AE205" s="486"/>
      <c r="AF205" s="485"/>
      <c r="AG205" s="486"/>
    </row>
    <row r="206" spans="1:33">
      <c r="A206" s="102" t="s">
        <v>252</v>
      </c>
      <c r="B206" s="103" t="s">
        <v>271</v>
      </c>
      <c r="C206" s="109"/>
      <c r="D206" s="105">
        <v>434061</v>
      </c>
      <c r="E206" s="110">
        <v>9</v>
      </c>
      <c r="F206" s="483">
        <f t="shared" si="12"/>
        <v>136495.50000000029</v>
      </c>
      <c r="G206" s="484">
        <f t="shared" si="13"/>
        <v>138411.00000000041</v>
      </c>
      <c r="H206" s="485">
        <v>121005.602674953</v>
      </c>
      <c r="I206" s="498">
        <v>118152.085066163</v>
      </c>
      <c r="J206" s="485"/>
      <c r="K206" s="486"/>
      <c r="L206" s="485">
        <v>15489.897325047299</v>
      </c>
      <c r="M206" s="485"/>
      <c r="N206" s="485"/>
      <c r="O206" s="486">
        <v>20258.914933837401</v>
      </c>
      <c r="P206" s="486"/>
      <c r="Q206" s="486"/>
      <c r="R206" s="485"/>
      <c r="S206" s="486"/>
      <c r="T206" s="483">
        <f t="shared" si="14"/>
        <v>0</v>
      </c>
      <c r="U206" s="484">
        <f t="shared" si="15"/>
        <v>0</v>
      </c>
      <c r="V206" s="485"/>
      <c r="W206" s="486"/>
      <c r="X206" s="485"/>
      <c r="Y206" s="486"/>
      <c r="Z206" s="485"/>
      <c r="AA206" s="485"/>
      <c r="AB206" s="485"/>
      <c r="AC206" s="486"/>
      <c r="AD206" s="486"/>
      <c r="AE206" s="486"/>
      <c r="AF206" s="485"/>
      <c r="AG206" s="486"/>
    </row>
    <row r="207" spans="1:33">
      <c r="A207" s="102" t="s">
        <v>252</v>
      </c>
      <c r="B207" s="103" t="s">
        <v>272</v>
      </c>
      <c r="C207" s="107"/>
      <c r="D207" s="105">
        <v>160649</v>
      </c>
      <c r="E207" s="110">
        <v>9</v>
      </c>
      <c r="F207" s="483">
        <f t="shared" si="12"/>
        <v>66609</v>
      </c>
      <c r="G207" s="484">
        <f t="shared" si="13"/>
        <v>60297</v>
      </c>
      <c r="H207" s="485">
        <v>56097.802744425397</v>
      </c>
      <c r="I207" s="498">
        <v>48237.599999999999</v>
      </c>
      <c r="J207" s="485"/>
      <c r="K207" s="486"/>
      <c r="L207" s="485">
        <v>10511.1972555746</v>
      </c>
      <c r="M207" s="485"/>
      <c r="N207" s="485"/>
      <c r="O207" s="486">
        <v>12059.4</v>
      </c>
      <c r="P207" s="486"/>
      <c r="Q207" s="486"/>
      <c r="R207" s="485"/>
      <c r="S207" s="486"/>
      <c r="T207" s="483">
        <f t="shared" si="14"/>
        <v>0</v>
      </c>
      <c r="U207" s="484">
        <f t="shared" si="15"/>
        <v>0</v>
      </c>
      <c r="V207" s="485"/>
      <c r="W207" s="486"/>
      <c r="X207" s="485"/>
      <c r="Y207" s="486"/>
      <c r="Z207" s="485"/>
      <c r="AA207" s="485"/>
      <c r="AB207" s="485"/>
      <c r="AC207" s="486"/>
      <c r="AD207" s="486"/>
      <c r="AE207" s="486"/>
      <c r="AF207" s="485"/>
      <c r="AG207" s="486"/>
    </row>
    <row r="208" spans="1:33">
      <c r="A208" s="102" t="s">
        <v>252</v>
      </c>
      <c r="B208" s="103" t="s">
        <v>273</v>
      </c>
      <c r="C208" s="104" t="s">
        <v>944</v>
      </c>
      <c r="D208" s="105">
        <v>159407</v>
      </c>
      <c r="E208" s="110">
        <v>10</v>
      </c>
      <c r="F208" s="483">
        <f t="shared" si="12"/>
        <v>59060</v>
      </c>
      <c r="G208" s="484">
        <f t="shared" si="13"/>
        <v>63178</v>
      </c>
      <c r="H208" s="485">
        <v>40297.047898338198</v>
      </c>
      <c r="I208" s="498">
        <v>42639.144486691999</v>
      </c>
      <c r="J208" s="485"/>
      <c r="K208" s="486"/>
      <c r="L208" s="485">
        <v>18762.952101661798</v>
      </c>
      <c r="M208" s="485"/>
      <c r="N208" s="485"/>
      <c r="O208" s="486">
        <v>20538.855513308001</v>
      </c>
      <c r="P208" s="486"/>
      <c r="Q208" s="486"/>
      <c r="R208" s="485"/>
      <c r="S208" s="486"/>
      <c r="T208" s="483">
        <f t="shared" si="14"/>
        <v>0</v>
      </c>
      <c r="U208" s="484">
        <f t="shared" si="15"/>
        <v>0</v>
      </c>
      <c r="V208" s="485"/>
      <c r="W208" s="486"/>
      <c r="X208" s="485"/>
      <c r="Y208" s="486"/>
      <c r="Z208" s="485"/>
      <c r="AA208" s="485"/>
      <c r="AB208" s="485"/>
      <c r="AC208" s="486"/>
      <c r="AD208" s="486"/>
      <c r="AE208" s="486"/>
      <c r="AF208" s="485"/>
      <c r="AG208" s="486"/>
    </row>
    <row r="209" spans="1:33">
      <c r="A209" s="102" t="s">
        <v>252</v>
      </c>
      <c r="B209" s="103" t="s">
        <v>274</v>
      </c>
      <c r="C209" s="104"/>
      <c r="D209" s="105">
        <v>158884</v>
      </c>
      <c r="E209" s="110">
        <v>10</v>
      </c>
      <c r="F209" s="483">
        <f t="shared" si="12"/>
        <v>47593</v>
      </c>
      <c r="G209" s="484">
        <f t="shared" si="13"/>
        <v>45520</v>
      </c>
      <c r="H209" s="485">
        <v>30979.907571288099</v>
      </c>
      <c r="I209" s="498">
        <v>29164.712755598801</v>
      </c>
      <c r="J209" s="485"/>
      <c r="K209" s="486"/>
      <c r="L209" s="485">
        <v>16613.092428711901</v>
      </c>
      <c r="M209" s="485"/>
      <c r="N209" s="485"/>
      <c r="O209" s="486">
        <v>16355.287244401199</v>
      </c>
      <c r="P209" s="486"/>
      <c r="Q209" s="486"/>
      <c r="R209" s="485"/>
      <c r="S209" s="486"/>
      <c r="T209" s="483">
        <f t="shared" si="14"/>
        <v>0</v>
      </c>
      <c r="U209" s="484">
        <f t="shared" si="15"/>
        <v>0</v>
      </c>
      <c r="V209" s="485"/>
      <c r="W209" s="486"/>
      <c r="X209" s="485"/>
      <c r="Y209" s="486"/>
      <c r="Z209" s="485"/>
      <c r="AA209" s="485"/>
      <c r="AB209" s="485"/>
      <c r="AC209" s="486"/>
      <c r="AD209" s="486"/>
      <c r="AE209" s="486"/>
      <c r="AF209" s="485"/>
      <c r="AG209" s="486"/>
    </row>
    <row r="210" spans="1:33">
      <c r="A210" s="106" t="s">
        <v>252</v>
      </c>
      <c r="B210" s="108" t="s">
        <v>275</v>
      </c>
      <c r="C210" s="104" t="s">
        <v>944</v>
      </c>
      <c r="D210" s="105">
        <v>436304</v>
      </c>
      <c r="E210" s="110">
        <v>10</v>
      </c>
      <c r="F210" s="483">
        <f t="shared" si="12"/>
        <v>41113</v>
      </c>
      <c r="G210" s="484">
        <f t="shared" si="13"/>
        <v>65304.000000000036</v>
      </c>
      <c r="H210" s="485">
        <v>33924.689308176101</v>
      </c>
      <c r="I210" s="498">
        <v>55942.576371725198</v>
      </c>
      <c r="J210" s="485"/>
      <c r="K210" s="486"/>
      <c r="L210" s="485">
        <v>7188.3106918239</v>
      </c>
      <c r="M210" s="485"/>
      <c r="N210" s="485"/>
      <c r="O210" s="486">
        <v>9361.4236282748407</v>
      </c>
      <c r="P210" s="486"/>
      <c r="Q210" s="486"/>
      <c r="R210" s="485"/>
      <c r="S210" s="486"/>
      <c r="T210" s="483">
        <f t="shared" si="14"/>
        <v>0</v>
      </c>
      <c r="U210" s="484">
        <f t="shared" si="15"/>
        <v>0</v>
      </c>
      <c r="V210" s="485"/>
      <c r="W210" s="486"/>
      <c r="X210" s="485"/>
      <c r="Y210" s="486"/>
      <c r="Z210" s="485"/>
      <c r="AA210" s="485"/>
      <c r="AB210" s="485"/>
      <c r="AC210" s="486"/>
      <c r="AD210" s="486"/>
      <c r="AE210" s="486"/>
      <c r="AF210" s="485"/>
      <c r="AG210" s="486"/>
    </row>
    <row r="211" spans="1:33">
      <c r="A211" s="106" t="s">
        <v>252</v>
      </c>
      <c r="B211" s="111" t="s">
        <v>968</v>
      </c>
      <c r="C211" s="112"/>
      <c r="D211" s="105">
        <v>158088</v>
      </c>
      <c r="E211" s="110">
        <v>12</v>
      </c>
      <c r="F211" s="483">
        <f t="shared" si="12"/>
        <v>46503.999999999949</v>
      </c>
      <c r="G211" s="484">
        <f t="shared" si="13"/>
        <v>43623.999999999978</v>
      </c>
      <c r="H211" s="485">
        <v>39899.346303501901</v>
      </c>
      <c r="I211" s="498">
        <v>35297.963605586097</v>
      </c>
      <c r="J211" s="485"/>
      <c r="K211" s="486"/>
      <c r="L211" s="485">
        <v>6604.6536964980496</v>
      </c>
      <c r="M211" s="485"/>
      <c r="N211" s="485"/>
      <c r="O211" s="486">
        <v>8326.0363944138808</v>
      </c>
      <c r="P211" s="486"/>
      <c r="Q211" s="486"/>
      <c r="R211" s="485"/>
      <c r="S211" s="486"/>
      <c r="T211" s="483">
        <f t="shared" si="14"/>
        <v>0</v>
      </c>
      <c r="U211" s="484">
        <f t="shared" si="15"/>
        <v>0</v>
      </c>
      <c r="V211" s="485"/>
      <c r="W211" s="486"/>
      <c r="X211" s="485"/>
      <c r="Y211" s="486"/>
      <c r="Z211" s="485"/>
      <c r="AA211" s="485"/>
      <c r="AB211" s="485"/>
      <c r="AC211" s="486"/>
      <c r="AD211" s="486"/>
      <c r="AE211" s="486"/>
      <c r="AF211" s="485"/>
      <c r="AG211" s="486"/>
    </row>
    <row r="212" spans="1:33">
      <c r="A212" s="106" t="s">
        <v>252</v>
      </c>
      <c r="B212" s="103" t="s">
        <v>276</v>
      </c>
      <c r="C212" s="107"/>
      <c r="D212" s="105">
        <v>160481</v>
      </c>
      <c r="E212" s="110">
        <v>12</v>
      </c>
      <c r="F212" s="483">
        <f t="shared" ref="F212:F275" si="16">SUM(H212,J212,L212,M212,N212,R212)</f>
        <v>40980.000000000044</v>
      </c>
      <c r="G212" s="484">
        <f t="shared" ref="G212:G275" si="17">SUM(I212,K212,O212,P212,Q212,S212)</f>
        <v>44475</v>
      </c>
      <c r="H212" s="485">
        <v>31148.8127294982</v>
      </c>
      <c r="I212" s="498">
        <v>32029.9775784753</v>
      </c>
      <c r="J212" s="485"/>
      <c r="K212" s="486"/>
      <c r="L212" s="485">
        <v>9831.1872705018395</v>
      </c>
      <c r="M212" s="485"/>
      <c r="N212" s="485"/>
      <c r="O212" s="486">
        <v>12445.0224215247</v>
      </c>
      <c r="P212" s="486"/>
      <c r="Q212" s="486"/>
      <c r="R212" s="485"/>
      <c r="S212" s="486"/>
      <c r="T212" s="483">
        <f t="shared" ref="T212:T275" si="18">SUM(V212,X212,Z212,AA212,AB212,AF212)</f>
        <v>0</v>
      </c>
      <c r="U212" s="484">
        <f t="shared" ref="U212:U275" si="19">SUM(W212,Y212,AC212,AD212,AE212,AG212)</f>
        <v>0</v>
      </c>
      <c r="V212" s="485"/>
      <c r="W212" s="486"/>
      <c r="X212" s="485"/>
      <c r="Y212" s="486"/>
      <c r="Z212" s="485"/>
      <c r="AA212" s="485"/>
      <c r="AB212" s="485"/>
      <c r="AC212" s="486"/>
      <c r="AD212" s="486"/>
      <c r="AE212" s="486"/>
      <c r="AF212" s="485"/>
      <c r="AG212" s="486"/>
    </row>
    <row r="213" spans="1:33">
      <c r="A213" s="106" t="s">
        <v>252</v>
      </c>
      <c r="B213" s="111" t="s">
        <v>277</v>
      </c>
      <c r="C213" s="112"/>
      <c r="D213" s="105">
        <v>160667</v>
      </c>
      <c r="E213" s="110">
        <v>12</v>
      </c>
      <c r="F213" s="483">
        <f t="shared" si="16"/>
        <v>65592</v>
      </c>
      <c r="G213" s="484">
        <f t="shared" si="17"/>
        <v>68376</v>
      </c>
      <c r="H213" s="485">
        <v>55573.892063492101</v>
      </c>
      <c r="I213" s="498">
        <v>54423.154852030297</v>
      </c>
      <c r="J213" s="485"/>
      <c r="K213" s="486"/>
      <c r="L213" s="485">
        <v>10018.1079365079</v>
      </c>
      <c r="M213" s="485"/>
      <c r="N213" s="485"/>
      <c r="O213" s="486">
        <v>13952.8451479697</v>
      </c>
      <c r="P213" s="486"/>
      <c r="Q213" s="486"/>
      <c r="R213" s="485"/>
      <c r="S213" s="486"/>
      <c r="T213" s="483">
        <f t="shared" si="18"/>
        <v>0</v>
      </c>
      <c r="U213" s="484">
        <f t="shared" si="19"/>
        <v>0</v>
      </c>
      <c r="V213" s="485"/>
      <c r="W213" s="486"/>
      <c r="X213" s="485"/>
      <c r="Y213" s="486"/>
      <c r="Z213" s="485"/>
      <c r="AA213" s="485"/>
      <c r="AB213" s="485"/>
      <c r="AC213" s="486"/>
      <c r="AD213" s="486"/>
      <c r="AE213" s="486"/>
      <c r="AF213" s="485"/>
      <c r="AG213" s="486"/>
    </row>
    <row r="214" spans="1:33">
      <c r="A214" s="106" t="s">
        <v>252</v>
      </c>
      <c r="B214" s="111" t="s">
        <v>278</v>
      </c>
      <c r="C214" s="112" t="s">
        <v>965</v>
      </c>
      <c r="D214" s="105">
        <v>160010</v>
      </c>
      <c r="E214" s="110">
        <v>12</v>
      </c>
      <c r="F214" s="483">
        <f t="shared" si="16"/>
        <v>27171</v>
      </c>
      <c r="G214" s="484">
        <f t="shared" si="17"/>
        <v>23316.999999999996</v>
      </c>
      <c r="H214" s="485">
        <v>27171</v>
      </c>
      <c r="I214" s="498">
        <v>23294.449709864599</v>
      </c>
      <c r="J214" s="485"/>
      <c r="K214" s="486"/>
      <c r="L214" s="485">
        <v>0</v>
      </c>
      <c r="M214" s="485"/>
      <c r="N214" s="485"/>
      <c r="O214" s="486">
        <v>22.550290135396502</v>
      </c>
      <c r="P214" s="486"/>
      <c r="Q214" s="486"/>
      <c r="R214" s="485"/>
      <c r="S214" s="486"/>
      <c r="T214" s="483">
        <f t="shared" si="18"/>
        <v>0</v>
      </c>
      <c r="U214" s="484">
        <f t="shared" si="19"/>
        <v>0</v>
      </c>
      <c r="V214" s="485"/>
      <c r="W214" s="486"/>
      <c r="X214" s="485"/>
      <c r="Y214" s="486"/>
      <c r="Z214" s="485"/>
      <c r="AA214" s="485"/>
      <c r="AB214" s="485"/>
      <c r="AC214" s="486"/>
      <c r="AD214" s="486"/>
      <c r="AE214" s="486"/>
      <c r="AF214" s="485"/>
      <c r="AG214" s="486"/>
    </row>
    <row r="215" spans="1:33">
      <c r="A215" s="106" t="s">
        <v>252</v>
      </c>
      <c r="B215" s="111" t="s">
        <v>279</v>
      </c>
      <c r="C215" s="112" t="s">
        <v>969</v>
      </c>
      <c r="D215" s="105">
        <v>160913</v>
      </c>
      <c r="E215" s="110">
        <v>12</v>
      </c>
      <c r="F215" s="483">
        <f t="shared" si="16"/>
        <v>33300.999999999956</v>
      </c>
      <c r="G215" s="484">
        <f t="shared" si="17"/>
        <v>0</v>
      </c>
      <c r="H215" s="485">
        <v>28050.746980292399</v>
      </c>
      <c r="I215" s="486"/>
      <c r="J215" s="485"/>
      <c r="K215" s="486"/>
      <c r="L215" s="485">
        <v>5250.2530197075603</v>
      </c>
      <c r="M215" s="485"/>
      <c r="N215" s="485"/>
      <c r="O215" s="486"/>
      <c r="P215" s="486"/>
      <c r="Q215" s="486"/>
      <c r="R215" s="485"/>
      <c r="S215" s="486"/>
      <c r="T215" s="483">
        <f t="shared" si="18"/>
        <v>0</v>
      </c>
      <c r="U215" s="484">
        <f t="shared" si="19"/>
        <v>0</v>
      </c>
      <c r="V215" s="485"/>
      <c r="W215" s="486"/>
      <c r="X215" s="485"/>
      <c r="Y215" s="486"/>
      <c r="Z215" s="485"/>
      <c r="AA215" s="485"/>
      <c r="AB215" s="485"/>
      <c r="AC215" s="486"/>
      <c r="AD215" s="486"/>
      <c r="AE215" s="486"/>
      <c r="AF215" s="485"/>
      <c r="AG215" s="486"/>
    </row>
    <row r="216" spans="1:33" s="28" customFormat="1" ht="13.5" customHeight="1" thickBot="1">
      <c r="A216" s="106" t="s">
        <v>252</v>
      </c>
      <c r="B216" s="103" t="s">
        <v>280</v>
      </c>
      <c r="C216" s="104"/>
      <c r="D216" s="105">
        <v>160579</v>
      </c>
      <c r="E216" s="110">
        <v>12</v>
      </c>
      <c r="F216" s="483">
        <f t="shared" si="16"/>
        <v>66345.5</v>
      </c>
      <c r="G216" s="484">
        <f t="shared" si="17"/>
        <v>70688</v>
      </c>
      <c r="H216" s="485">
        <v>56204.731434751302</v>
      </c>
      <c r="I216" s="499">
        <v>58366.657198192399</v>
      </c>
      <c r="J216" s="485"/>
      <c r="K216" s="486"/>
      <c r="L216" s="485">
        <v>10140.7685652487</v>
      </c>
      <c r="M216" s="485"/>
      <c r="N216" s="485"/>
      <c r="O216" s="486">
        <v>12321.342801807599</v>
      </c>
      <c r="P216" s="486"/>
      <c r="Q216" s="486"/>
      <c r="R216" s="485"/>
      <c r="S216" s="486"/>
      <c r="T216" s="483">
        <f t="shared" si="18"/>
        <v>0</v>
      </c>
      <c r="U216" s="484">
        <f t="shared" si="19"/>
        <v>0</v>
      </c>
      <c r="V216" s="485"/>
      <c r="W216" s="486"/>
      <c r="X216" s="485"/>
      <c r="Y216" s="486"/>
      <c r="Z216" s="485"/>
      <c r="AA216" s="485"/>
      <c r="AB216" s="485"/>
      <c r="AC216" s="486"/>
      <c r="AD216" s="486"/>
      <c r="AE216" s="486"/>
      <c r="AF216" s="485"/>
      <c r="AG216" s="486"/>
    </row>
    <row r="217" spans="1:33" s="28" customFormat="1" ht="13.5" customHeight="1" thickTop="1">
      <c r="A217" s="106" t="s">
        <v>252</v>
      </c>
      <c r="B217" s="103" t="s">
        <v>281</v>
      </c>
      <c r="C217" s="104"/>
      <c r="D217" s="105">
        <v>159373</v>
      </c>
      <c r="E217" s="110">
        <v>15</v>
      </c>
      <c r="F217" s="483">
        <f t="shared" si="16"/>
        <v>0</v>
      </c>
      <c r="G217" s="484">
        <f t="shared" si="17"/>
        <v>0</v>
      </c>
      <c r="H217" s="485"/>
      <c r="I217" s="486"/>
      <c r="J217" s="485"/>
      <c r="K217" s="486"/>
      <c r="L217" s="485"/>
      <c r="M217" s="485"/>
      <c r="N217" s="485"/>
      <c r="O217" s="486"/>
      <c r="P217" s="486"/>
      <c r="Q217" s="486"/>
      <c r="R217" s="485"/>
      <c r="S217" s="486"/>
      <c r="T217" s="483">
        <f t="shared" si="18"/>
        <v>0</v>
      </c>
      <c r="U217" s="484">
        <f t="shared" si="19"/>
        <v>0</v>
      </c>
      <c r="V217" s="485"/>
      <c r="W217" s="486"/>
      <c r="X217" s="485"/>
      <c r="Y217" s="486"/>
      <c r="Z217" s="485"/>
      <c r="AA217" s="485"/>
      <c r="AB217" s="485"/>
      <c r="AC217" s="486"/>
      <c r="AD217" s="486"/>
      <c r="AE217" s="486"/>
      <c r="AF217" s="485"/>
      <c r="AG217" s="486"/>
    </row>
    <row r="218" spans="1:33">
      <c r="A218" s="106" t="s">
        <v>252</v>
      </c>
      <c r="B218" s="103" t="s">
        <v>282</v>
      </c>
      <c r="C218" s="104"/>
      <c r="D218" s="105">
        <v>435000</v>
      </c>
      <c r="E218" s="110">
        <v>15</v>
      </c>
      <c r="F218" s="483">
        <f t="shared" si="16"/>
        <v>0</v>
      </c>
      <c r="G218" s="484">
        <f t="shared" si="17"/>
        <v>0</v>
      </c>
      <c r="H218" s="485"/>
      <c r="I218" s="486"/>
      <c r="J218" s="485"/>
      <c r="K218" s="486"/>
      <c r="L218" s="485"/>
      <c r="M218" s="485"/>
      <c r="N218" s="485"/>
      <c r="O218" s="486"/>
      <c r="P218" s="486"/>
      <c r="Q218" s="486"/>
      <c r="R218" s="485"/>
      <c r="S218" s="486"/>
      <c r="T218" s="483">
        <f t="shared" si="18"/>
        <v>0</v>
      </c>
      <c r="U218" s="484">
        <f t="shared" si="19"/>
        <v>0</v>
      </c>
      <c r="V218" s="485"/>
      <c r="W218" s="486"/>
      <c r="X218" s="485"/>
      <c r="Y218" s="486"/>
      <c r="Z218" s="485"/>
      <c r="AA218" s="485"/>
      <c r="AB218" s="485"/>
      <c r="AC218" s="486"/>
      <c r="AD218" s="486"/>
      <c r="AE218" s="486"/>
      <c r="AF218" s="485"/>
      <c r="AG218" s="486"/>
    </row>
    <row r="219" spans="1:33" s="28" customFormat="1" ht="13.5" customHeight="1">
      <c r="A219" s="3" t="s">
        <v>283</v>
      </c>
      <c r="B219" s="2" t="s">
        <v>284</v>
      </c>
      <c r="C219" s="1"/>
      <c r="D219" s="66">
        <v>163286</v>
      </c>
      <c r="E219" s="66">
        <v>1</v>
      </c>
      <c r="F219" s="483">
        <f t="shared" si="16"/>
        <v>853125</v>
      </c>
      <c r="G219" s="484">
        <f t="shared" si="17"/>
        <v>864022</v>
      </c>
      <c r="H219" s="485">
        <v>800608</v>
      </c>
      <c r="I219" s="486">
        <v>808476</v>
      </c>
      <c r="J219" s="485">
        <v>16569</v>
      </c>
      <c r="K219" s="486">
        <v>15042</v>
      </c>
      <c r="L219" s="485">
        <v>35162</v>
      </c>
      <c r="M219" s="485">
        <v>786</v>
      </c>
      <c r="N219" s="485"/>
      <c r="O219" s="486">
        <v>39547</v>
      </c>
      <c r="P219" s="486">
        <v>957</v>
      </c>
      <c r="Q219" s="486"/>
      <c r="R219" s="485"/>
      <c r="S219" s="486"/>
      <c r="T219" s="483">
        <f t="shared" si="18"/>
        <v>158715.5</v>
      </c>
      <c r="U219" s="484">
        <f t="shared" si="19"/>
        <v>159015</v>
      </c>
      <c r="V219" s="485">
        <v>123099.5</v>
      </c>
      <c r="W219" s="486">
        <v>122367</v>
      </c>
      <c r="X219" s="485">
        <v>19764</v>
      </c>
      <c r="Y219" s="486">
        <v>16914</v>
      </c>
      <c r="Z219" s="485">
        <v>15188</v>
      </c>
      <c r="AA219" s="485">
        <v>664</v>
      </c>
      <c r="AB219" s="485"/>
      <c r="AC219" s="486">
        <v>19226</v>
      </c>
      <c r="AD219" s="486">
        <v>508</v>
      </c>
      <c r="AE219" s="486">
        <v>0</v>
      </c>
      <c r="AF219" s="485"/>
      <c r="AG219" s="486"/>
    </row>
    <row r="220" spans="1:33">
      <c r="A220" s="3" t="s">
        <v>283</v>
      </c>
      <c r="B220" s="2" t="s">
        <v>285</v>
      </c>
      <c r="C220" s="68"/>
      <c r="D220" s="66">
        <v>163453</v>
      </c>
      <c r="E220" s="66">
        <v>2</v>
      </c>
      <c r="F220" s="483">
        <f t="shared" si="16"/>
        <v>184154</v>
      </c>
      <c r="G220" s="484">
        <f t="shared" si="17"/>
        <v>190281</v>
      </c>
      <c r="H220" s="485">
        <v>170277</v>
      </c>
      <c r="I220" s="486">
        <v>176794</v>
      </c>
      <c r="J220" s="485">
        <v>66</v>
      </c>
      <c r="K220" s="486">
        <v>48</v>
      </c>
      <c r="L220" s="485">
        <v>13811</v>
      </c>
      <c r="M220" s="485">
        <v>0</v>
      </c>
      <c r="N220" s="485"/>
      <c r="O220" s="486">
        <v>13439</v>
      </c>
      <c r="P220" s="486">
        <v>0</v>
      </c>
      <c r="Q220" s="486"/>
      <c r="R220" s="485"/>
      <c r="S220" s="486"/>
      <c r="T220" s="483">
        <f t="shared" si="18"/>
        <v>24551</v>
      </c>
      <c r="U220" s="484">
        <f t="shared" si="19"/>
        <v>24322</v>
      </c>
      <c r="V220" s="485">
        <v>19255</v>
      </c>
      <c r="W220" s="486">
        <v>19122</v>
      </c>
      <c r="X220" s="485">
        <v>42</v>
      </c>
      <c r="Y220" s="486">
        <v>93</v>
      </c>
      <c r="Z220" s="485">
        <v>5254</v>
      </c>
      <c r="AA220" s="485">
        <v>0</v>
      </c>
      <c r="AB220" s="485"/>
      <c r="AC220" s="486">
        <v>5107</v>
      </c>
      <c r="AD220" s="486">
        <v>0</v>
      </c>
      <c r="AE220" s="486">
        <v>0</v>
      </c>
      <c r="AF220" s="485"/>
      <c r="AG220" s="486"/>
    </row>
    <row r="221" spans="1:33">
      <c r="A221" s="3" t="s">
        <v>283</v>
      </c>
      <c r="B221" s="69" t="s">
        <v>286</v>
      </c>
      <c r="C221" s="70"/>
      <c r="D221" s="66">
        <v>163268</v>
      </c>
      <c r="E221" s="66">
        <v>2</v>
      </c>
      <c r="F221" s="483">
        <f t="shared" si="16"/>
        <v>317175</v>
      </c>
      <c r="G221" s="484">
        <f t="shared" si="17"/>
        <v>322423</v>
      </c>
      <c r="H221" s="485">
        <v>266808</v>
      </c>
      <c r="I221" s="486">
        <v>271847</v>
      </c>
      <c r="J221" s="485">
        <v>7763</v>
      </c>
      <c r="K221" s="486">
        <v>7335</v>
      </c>
      <c r="L221" s="485">
        <v>42604</v>
      </c>
      <c r="M221" s="485">
        <v>0</v>
      </c>
      <c r="N221" s="485"/>
      <c r="O221" s="486">
        <v>43241</v>
      </c>
      <c r="P221" s="486">
        <v>0</v>
      </c>
      <c r="Q221" s="486"/>
      <c r="R221" s="485"/>
      <c r="S221" s="486"/>
      <c r="T221" s="483">
        <f t="shared" si="18"/>
        <v>33052</v>
      </c>
      <c r="U221" s="484">
        <f t="shared" si="19"/>
        <v>33987</v>
      </c>
      <c r="V221" s="485">
        <v>22159</v>
      </c>
      <c r="W221" s="486">
        <v>22714</v>
      </c>
      <c r="X221" s="485">
        <v>3367</v>
      </c>
      <c r="Y221" s="486">
        <v>3527</v>
      </c>
      <c r="Z221" s="485">
        <v>7526</v>
      </c>
      <c r="AA221" s="485">
        <v>0</v>
      </c>
      <c r="AB221" s="485"/>
      <c r="AC221" s="486">
        <v>7746</v>
      </c>
      <c r="AD221" s="486">
        <v>0</v>
      </c>
      <c r="AE221" s="486">
        <v>0</v>
      </c>
      <c r="AF221" s="485"/>
      <c r="AG221" s="486"/>
    </row>
    <row r="222" spans="1:33" s="28" customFormat="1" ht="12.75" customHeight="1">
      <c r="A222" s="3" t="s">
        <v>283</v>
      </c>
      <c r="B222" s="2" t="s">
        <v>287</v>
      </c>
      <c r="C222" s="1"/>
      <c r="D222" s="66">
        <v>164076</v>
      </c>
      <c r="E222" s="66">
        <v>3</v>
      </c>
      <c r="F222" s="483">
        <f t="shared" si="16"/>
        <v>544909</v>
      </c>
      <c r="G222" s="484">
        <f t="shared" si="17"/>
        <v>550848.5</v>
      </c>
      <c r="H222" s="485">
        <v>469945</v>
      </c>
      <c r="I222" s="486">
        <v>479082.5</v>
      </c>
      <c r="J222" s="485">
        <v>11415</v>
      </c>
      <c r="K222" s="486">
        <v>11986</v>
      </c>
      <c r="L222" s="485">
        <v>63450</v>
      </c>
      <c r="M222" s="485">
        <v>99</v>
      </c>
      <c r="N222" s="485"/>
      <c r="O222" s="486">
        <v>59780</v>
      </c>
      <c r="P222" s="486">
        <v>0</v>
      </c>
      <c r="Q222" s="486"/>
      <c r="R222" s="485"/>
      <c r="S222" s="486"/>
      <c r="T222" s="483">
        <f t="shared" si="18"/>
        <v>44409</v>
      </c>
      <c r="U222" s="484">
        <f t="shared" si="19"/>
        <v>45223</v>
      </c>
      <c r="V222" s="485">
        <v>27070</v>
      </c>
      <c r="W222" s="486">
        <v>27769.5</v>
      </c>
      <c r="X222" s="485">
        <v>5957</v>
      </c>
      <c r="Y222" s="486">
        <v>6545.5</v>
      </c>
      <c r="Z222" s="485">
        <v>11370</v>
      </c>
      <c r="AA222" s="485">
        <v>12</v>
      </c>
      <c r="AB222" s="485"/>
      <c r="AC222" s="486">
        <v>10908</v>
      </c>
      <c r="AD222" s="486">
        <v>0</v>
      </c>
      <c r="AE222" s="486">
        <v>0</v>
      </c>
      <c r="AF222" s="485"/>
      <c r="AG222" s="486"/>
    </row>
    <row r="223" spans="1:33" s="28" customFormat="1" ht="12.75" customHeight="1">
      <c r="A223" s="3" t="s">
        <v>283</v>
      </c>
      <c r="B223" s="2" t="s">
        <v>291</v>
      </c>
      <c r="C223" s="68"/>
      <c r="D223" s="66">
        <v>161873</v>
      </c>
      <c r="E223" s="66">
        <v>3</v>
      </c>
      <c r="F223" s="483">
        <f t="shared" si="16"/>
        <v>67059</v>
      </c>
      <c r="G223" s="484">
        <f t="shared" si="17"/>
        <v>144158</v>
      </c>
      <c r="H223" s="485">
        <v>47583</v>
      </c>
      <c r="I223" s="486">
        <v>114104</v>
      </c>
      <c r="J223" s="485">
        <v>1314</v>
      </c>
      <c r="K223" s="486">
        <v>0</v>
      </c>
      <c r="L223" s="485">
        <v>18162</v>
      </c>
      <c r="M223" s="485">
        <v>0</v>
      </c>
      <c r="N223" s="485"/>
      <c r="O223" s="486">
        <v>30054</v>
      </c>
      <c r="P223" s="486">
        <v>0</v>
      </c>
      <c r="Q223" s="486"/>
      <c r="R223" s="485"/>
      <c r="S223" s="486"/>
      <c r="T223" s="483">
        <f t="shared" si="18"/>
        <v>44150</v>
      </c>
      <c r="U223" s="484">
        <f t="shared" si="19"/>
        <v>15018</v>
      </c>
      <c r="V223" s="485">
        <v>33078</v>
      </c>
      <c r="W223" s="486">
        <v>12697</v>
      </c>
      <c r="X223" s="485">
        <v>1821</v>
      </c>
      <c r="Y223" s="486">
        <v>0</v>
      </c>
      <c r="Z223" s="485">
        <v>9251</v>
      </c>
      <c r="AA223" s="485">
        <v>0</v>
      </c>
      <c r="AB223" s="485"/>
      <c r="AC223" s="486">
        <v>2321</v>
      </c>
      <c r="AD223" s="486">
        <v>0</v>
      </c>
      <c r="AE223" s="486">
        <v>0</v>
      </c>
      <c r="AF223" s="485"/>
      <c r="AG223" s="486"/>
    </row>
    <row r="224" spans="1:33">
      <c r="A224" s="3" t="s">
        <v>283</v>
      </c>
      <c r="B224" s="2" t="s">
        <v>288</v>
      </c>
      <c r="C224" s="1" t="s">
        <v>933</v>
      </c>
      <c r="D224" s="66">
        <v>162007</v>
      </c>
      <c r="E224" s="66">
        <v>4</v>
      </c>
      <c r="F224" s="483">
        <f t="shared" si="16"/>
        <v>136075</v>
      </c>
      <c r="G224" s="484">
        <f t="shared" si="17"/>
        <v>128987</v>
      </c>
      <c r="H224" s="485">
        <v>112186</v>
      </c>
      <c r="I224" s="486">
        <v>99006</v>
      </c>
      <c r="J224" s="485">
        <v>0</v>
      </c>
      <c r="K224" s="486">
        <v>3093</v>
      </c>
      <c r="L224" s="485">
        <v>23889</v>
      </c>
      <c r="M224" s="485">
        <v>0</v>
      </c>
      <c r="N224" s="485"/>
      <c r="O224" s="486">
        <v>26888</v>
      </c>
      <c r="P224" s="486">
        <v>0</v>
      </c>
      <c r="Q224" s="486"/>
      <c r="R224" s="485"/>
      <c r="S224" s="486"/>
      <c r="T224" s="483">
        <f t="shared" si="18"/>
        <v>15976</v>
      </c>
      <c r="U224" s="484">
        <f t="shared" si="19"/>
        <v>9864</v>
      </c>
      <c r="V224" s="485">
        <v>12190</v>
      </c>
      <c r="W224" s="486">
        <v>4039</v>
      </c>
      <c r="X224" s="485">
        <v>2222</v>
      </c>
      <c r="Y224" s="486">
        <v>480</v>
      </c>
      <c r="Z224" s="485">
        <v>1564</v>
      </c>
      <c r="AA224" s="485">
        <v>0</v>
      </c>
      <c r="AB224" s="485"/>
      <c r="AC224" s="486">
        <v>5345</v>
      </c>
      <c r="AD224" s="486">
        <v>0</v>
      </c>
      <c r="AE224" s="486">
        <v>0</v>
      </c>
      <c r="AF224" s="485"/>
      <c r="AG224" s="486"/>
    </row>
    <row r="225" spans="1:33">
      <c r="A225" s="3" t="s">
        <v>283</v>
      </c>
      <c r="B225" s="69" t="s">
        <v>289</v>
      </c>
      <c r="C225" s="1"/>
      <c r="D225" s="66">
        <v>162584</v>
      </c>
      <c r="E225" s="66">
        <v>4</v>
      </c>
      <c r="F225" s="483">
        <f t="shared" si="16"/>
        <v>131583</v>
      </c>
      <c r="G225" s="484">
        <f t="shared" si="17"/>
        <v>228174</v>
      </c>
      <c r="H225" s="485">
        <v>104619</v>
      </c>
      <c r="I225" s="486">
        <v>196008</v>
      </c>
      <c r="J225" s="485">
        <v>2818</v>
      </c>
      <c r="K225" s="486">
        <v>2604</v>
      </c>
      <c r="L225" s="485">
        <v>24146</v>
      </c>
      <c r="M225" s="485">
        <v>0</v>
      </c>
      <c r="N225" s="485"/>
      <c r="O225" s="486">
        <v>22775</v>
      </c>
      <c r="P225" s="486">
        <v>6787</v>
      </c>
      <c r="Q225" s="486"/>
      <c r="R225" s="485"/>
      <c r="S225" s="486"/>
      <c r="T225" s="483">
        <f t="shared" si="18"/>
        <v>10471</v>
      </c>
      <c r="U225" s="484">
        <f t="shared" si="19"/>
        <v>15405</v>
      </c>
      <c r="V225" s="485">
        <v>3557</v>
      </c>
      <c r="W225" s="486">
        <v>2375</v>
      </c>
      <c r="X225" s="485">
        <v>818</v>
      </c>
      <c r="Y225" s="486">
        <v>0</v>
      </c>
      <c r="Z225" s="485">
        <v>6096</v>
      </c>
      <c r="AA225" s="485">
        <v>0</v>
      </c>
      <c r="AB225" s="485"/>
      <c r="AC225" s="486">
        <v>9649</v>
      </c>
      <c r="AD225" s="486">
        <v>3381</v>
      </c>
      <c r="AE225" s="486">
        <v>0</v>
      </c>
      <c r="AF225" s="485"/>
      <c r="AG225" s="486"/>
    </row>
    <row r="226" spans="1:33" s="28" customFormat="1" ht="15" customHeight="1">
      <c r="A226" s="3" t="s">
        <v>283</v>
      </c>
      <c r="B226" s="2" t="s">
        <v>290</v>
      </c>
      <c r="C226" s="1"/>
      <c r="D226" s="66">
        <v>163851</v>
      </c>
      <c r="E226" s="66">
        <v>4</v>
      </c>
      <c r="F226" s="483">
        <f t="shared" si="16"/>
        <v>234127</v>
      </c>
      <c r="G226" s="484">
        <f t="shared" si="17"/>
        <v>58715</v>
      </c>
      <c r="H226" s="485">
        <v>205095</v>
      </c>
      <c r="I226" s="486">
        <v>40368</v>
      </c>
      <c r="J226" s="485">
        <v>2726</v>
      </c>
      <c r="K226" s="486">
        <v>1173</v>
      </c>
      <c r="L226" s="485">
        <v>20592</v>
      </c>
      <c r="M226" s="485">
        <v>5714</v>
      </c>
      <c r="N226" s="485"/>
      <c r="O226" s="486">
        <v>17174</v>
      </c>
      <c r="P226" s="486">
        <v>0</v>
      </c>
      <c r="Q226" s="486"/>
      <c r="R226" s="485"/>
      <c r="S226" s="486"/>
      <c r="T226" s="483">
        <f t="shared" si="18"/>
        <v>15560</v>
      </c>
      <c r="U226" s="484">
        <f t="shared" si="19"/>
        <v>42737</v>
      </c>
      <c r="V226" s="485">
        <v>3110</v>
      </c>
      <c r="W226" s="486">
        <v>30674</v>
      </c>
      <c r="X226" s="485">
        <v>30</v>
      </c>
      <c r="Y226" s="486">
        <v>1694</v>
      </c>
      <c r="Z226" s="485">
        <v>9121</v>
      </c>
      <c r="AA226" s="485">
        <v>3299</v>
      </c>
      <c r="AB226" s="485"/>
      <c r="AC226" s="486">
        <v>10369</v>
      </c>
      <c r="AD226" s="486">
        <v>0</v>
      </c>
      <c r="AE226" s="486">
        <v>0</v>
      </c>
      <c r="AF226" s="485"/>
      <c r="AG226" s="486"/>
    </row>
    <row r="227" spans="1:33">
      <c r="A227" s="3" t="s">
        <v>283</v>
      </c>
      <c r="B227" s="69" t="s">
        <v>292</v>
      </c>
      <c r="C227" s="70"/>
      <c r="D227" s="66">
        <v>163338</v>
      </c>
      <c r="E227" s="66">
        <v>4</v>
      </c>
      <c r="F227" s="483">
        <f t="shared" si="16"/>
        <v>84678</v>
      </c>
      <c r="G227" s="484">
        <f t="shared" si="17"/>
        <v>78210</v>
      </c>
      <c r="H227" s="485">
        <v>69123</v>
      </c>
      <c r="I227" s="486">
        <v>63022.5</v>
      </c>
      <c r="J227" s="485">
        <v>2046</v>
      </c>
      <c r="K227" s="486">
        <v>1590.5</v>
      </c>
      <c r="L227" s="485">
        <v>13509</v>
      </c>
      <c r="M227" s="485">
        <v>0</v>
      </c>
      <c r="N227" s="485"/>
      <c r="O227" s="486">
        <v>13597</v>
      </c>
      <c r="P227" s="486">
        <v>0</v>
      </c>
      <c r="Q227" s="486"/>
      <c r="R227" s="485"/>
      <c r="S227" s="486"/>
      <c r="T227" s="483">
        <f t="shared" si="18"/>
        <v>18323</v>
      </c>
      <c r="U227" s="484">
        <f t="shared" si="19"/>
        <v>16488.5</v>
      </c>
      <c r="V227" s="485">
        <v>17460</v>
      </c>
      <c r="W227" s="486">
        <v>15276.5</v>
      </c>
      <c r="X227" s="485">
        <v>209</v>
      </c>
      <c r="Y227" s="486">
        <v>339</v>
      </c>
      <c r="Z227" s="485">
        <v>654</v>
      </c>
      <c r="AA227" s="485">
        <v>0</v>
      </c>
      <c r="AB227" s="485"/>
      <c r="AC227" s="486">
        <v>873</v>
      </c>
      <c r="AD227" s="486">
        <v>0</v>
      </c>
      <c r="AE227" s="486">
        <v>0</v>
      </c>
      <c r="AF227" s="485"/>
      <c r="AG227" s="486"/>
    </row>
    <row r="228" spans="1:33">
      <c r="A228" s="3" t="s">
        <v>283</v>
      </c>
      <c r="B228" s="2" t="s">
        <v>293</v>
      </c>
      <c r="C228" s="1"/>
      <c r="D228" s="66">
        <v>162283</v>
      </c>
      <c r="E228" s="66">
        <v>5</v>
      </c>
      <c r="F228" s="483">
        <f t="shared" si="16"/>
        <v>63125</v>
      </c>
      <c r="G228" s="484">
        <f t="shared" si="17"/>
        <v>61715</v>
      </c>
      <c r="H228" s="485">
        <v>48548</v>
      </c>
      <c r="I228" s="486">
        <v>48596</v>
      </c>
      <c r="J228" s="485">
        <v>1564</v>
      </c>
      <c r="K228" s="486">
        <v>45</v>
      </c>
      <c r="L228" s="485">
        <v>13013</v>
      </c>
      <c r="M228" s="485">
        <v>0</v>
      </c>
      <c r="N228" s="485"/>
      <c r="O228" s="486">
        <v>13074</v>
      </c>
      <c r="P228" s="486">
        <v>0</v>
      </c>
      <c r="Q228" s="486"/>
      <c r="R228" s="485"/>
      <c r="S228" s="486"/>
      <c r="T228" s="483">
        <f t="shared" si="18"/>
        <v>5008</v>
      </c>
      <c r="U228" s="484">
        <f t="shared" si="19"/>
        <v>5201</v>
      </c>
      <c r="V228" s="485">
        <v>3823</v>
      </c>
      <c r="W228" s="486">
        <v>4291</v>
      </c>
      <c r="X228" s="485">
        <v>544</v>
      </c>
      <c r="Y228" s="486">
        <v>234</v>
      </c>
      <c r="Z228" s="485">
        <v>641</v>
      </c>
      <c r="AA228" s="485">
        <v>0</v>
      </c>
      <c r="AB228" s="485"/>
      <c r="AC228" s="486">
        <v>676</v>
      </c>
      <c r="AD228" s="486">
        <v>0</v>
      </c>
      <c r="AE228" s="486">
        <v>0</v>
      </c>
      <c r="AF228" s="485"/>
      <c r="AG228" s="486"/>
    </row>
    <row r="229" spans="1:33">
      <c r="A229" s="3" t="s">
        <v>283</v>
      </c>
      <c r="B229" s="2" t="s">
        <v>294</v>
      </c>
      <c r="C229" s="1"/>
      <c r="D229" s="66">
        <v>163912</v>
      </c>
      <c r="E229" s="66">
        <v>6</v>
      </c>
      <c r="F229" s="483">
        <f t="shared" si="16"/>
        <v>48855</v>
      </c>
      <c r="G229" s="484">
        <f t="shared" si="17"/>
        <v>48085.5</v>
      </c>
      <c r="H229" s="485">
        <v>48855</v>
      </c>
      <c r="I229" s="486">
        <v>48013.5</v>
      </c>
      <c r="J229" s="485">
        <v>0</v>
      </c>
      <c r="K229" s="486">
        <v>0</v>
      </c>
      <c r="L229" s="485">
        <v>0</v>
      </c>
      <c r="M229" s="485">
        <v>0</v>
      </c>
      <c r="N229" s="485"/>
      <c r="O229" s="486">
        <v>72</v>
      </c>
      <c r="P229" s="486">
        <v>0</v>
      </c>
      <c r="Q229" s="486"/>
      <c r="R229" s="485"/>
      <c r="S229" s="486"/>
      <c r="T229" s="483">
        <f t="shared" si="18"/>
        <v>1409</v>
      </c>
      <c r="U229" s="484">
        <f t="shared" si="19"/>
        <v>1333</v>
      </c>
      <c r="V229" s="485">
        <v>1409</v>
      </c>
      <c r="W229" s="486">
        <v>1333</v>
      </c>
      <c r="X229" s="485">
        <v>0</v>
      </c>
      <c r="Y229" s="486">
        <v>0</v>
      </c>
      <c r="Z229" s="485">
        <v>0</v>
      </c>
      <c r="AA229" s="485">
        <v>0</v>
      </c>
      <c r="AB229" s="485"/>
      <c r="AC229" s="486">
        <v>0</v>
      </c>
      <c r="AD229" s="486">
        <v>0</v>
      </c>
      <c r="AE229" s="486">
        <v>0</v>
      </c>
      <c r="AF229" s="485"/>
      <c r="AG229" s="486"/>
    </row>
    <row r="230" spans="1:33">
      <c r="A230" s="3" t="s">
        <v>283</v>
      </c>
      <c r="B230" s="69" t="s">
        <v>295</v>
      </c>
      <c r="C230" s="70"/>
      <c r="D230" s="66">
        <v>161767</v>
      </c>
      <c r="E230" s="66">
        <v>8</v>
      </c>
      <c r="F230" s="483">
        <f t="shared" si="16"/>
        <v>242050</v>
      </c>
      <c r="G230" s="484">
        <f t="shared" si="17"/>
        <v>233503</v>
      </c>
      <c r="H230" s="485">
        <v>163685</v>
      </c>
      <c r="I230" s="486">
        <v>151595</v>
      </c>
      <c r="J230" s="485">
        <v>4198</v>
      </c>
      <c r="K230" s="486">
        <v>4519</v>
      </c>
      <c r="L230" s="485">
        <v>73941</v>
      </c>
      <c r="M230" s="485">
        <v>226</v>
      </c>
      <c r="N230" s="485"/>
      <c r="O230" s="486">
        <v>77129</v>
      </c>
      <c r="P230" s="486">
        <v>260</v>
      </c>
      <c r="Q230" s="486"/>
      <c r="R230" s="485"/>
      <c r="S230" s="486"/>
      <c r="T230" s="483">
        <f t="shared" si="18"/>
        <v>0</v>
      </c>
      <c r="U230" s="484">
        <f t="shared" si="19"/>
        <v>0</v>
      </c>
      <c r="V230" s="485">
        <v>0</v>
      </c>
      <c r="W230" s="486">
        <v>0</v>
      </c>
      <c r="X230" s="485">
        <v>0</v>
      </c>
      <c r="Y230" s="486">
        <v>0</v>
      </c>
      <c r="Z230" s="485">
        <v>0</v>
      </c>
      <c r="AA230" s="485">
        <v>0</v>
      </c>
      <c r="AB230" s="485"/>
      <c r="AC230" s="486">
        <v>0</v>
      </c>
      <c r="AD230" s="486">
        <v>0</v>
      </c>
      <c r="AE230" s="486">
        <v>0</v>
      </c>
      <c r="AF230" s="485"/>
      <c r="AG230" s="486"/>
    </row>
    <row r="231" spans="1:33">
      <c r="A231" s="3" t="s">
        <v>283</v>
      </c>
      <c r="B231" s="2" t="s">
        <v>296</v>
      </c>
      <c r="C231" s="1" t="s">
        <v>967</v>
      </c>
      <c r="D231" s="66">
        <v>162122</v>
      </c>
      <c r="E231" s="66">
        <v>8</v>
      </c>
      <c r="F231" s="483">
        <f t="shared" si="16"/>
        <v>140742</v>
      </c>
      <c r="G231" s="484">
        <f t="shared" si="17"/>
        <v>133732</v>
      </c>
      <c r="H231" s="485">
        <v>84581</v>
      </c>
      <c r="I231" s="486">
        <v>78847</v>
      </c>
      <c r="J231" s="485">
        <v>5024</v>
      </c>
      <c r="K231" s="486">
        <v>5693</v>
      </c>
      <c r="L231" s="485">
        <v>50956</v>
      </c>
      <c r="M231" s="485">
        <v>181</v>
      </c>
      <c r="N231" s="485"/>
      <c r="O231" s="486">
        <v>48878</v>
      </c>
      <c r="P231" s="486">
        <v>314</v>
      </c>
      <c r="Q231" s="486"/>
      <c r="R231" s="485"/>
      <c r="S231" s="486"/>
      <c r="T231" s="483">
        <f t="shared" si="18"/>
        <v>0</v>
      </c>
      <c r="U231" s="484">
        <f t="shared" si="19"/>
        <v>0</v>
      </c>
      <c r="V231" s="485">
        <v>0</v>
      </c>
      <c r="W231" s="486">
        <v>0</v>
      </c>
      <c r="X231" s="485">
        <v>0</v>
      </c>
      <c r="Y231" s="486">
        <v>0</v>
      </c>
      <c r="Z231" s="485">
        <v>0</v>
      </c>
      <c r="AA231" s="485">
        <v>0</v>
      </c>
      <c r="AB231" s="485"/>
      <c r="AC231" s="486">
        <v>0</v>
      </c>
      <c r="AD231" s="486">
        <v>0</v>
      </c>
      <c r="AE231" s="486">
        <v>0</v>
      </c>
      <c r="AF231" s="485"/>
      <c r="AG231" s="486"/>
    </row>
    <row r="232" spans="1:33">
      <c r="A232" s="3" t="s">
        <v>283</v>
      </c>
      <c r="B232" s="2" t="s">
        <v>297</v>
      </c>
      <c r="C232" s="68"/>
      <c r="D232" s="66">
        <v>434672</v>
      </c>
      <c r="E232" s="66">
        <v>8</v>
      </c>
      <c r="F232" s="483">
        <f t="shared" si="16"/>
        <v>354049</v>
      </c>
      <c r="G232" s="484">
        <f t="shared" si="17"/>
        <v>344522</v>
      </c>
      <c r="H232" s="485">
        <v>248207</v>
      </c>
      <c r="I232" s="486">
        <v>228868</v>
      </c>
      <c r="J232" s="485">
        <v>40744</v>
      </c>
      <c r="K232" s="486">
        <v>41334</v>
      </c>
      <c r="L232" s="485">
        <v>65098</v>
      </c>
      <c r="M232" s="485">
        <v>0</v>
      </c>
      <c r="N232" s="485"/>
      <c r="O232" s="486">
        <v>74320</v>
      </c>
      <c r="P232" s="486">
        <v>0</v>
      </c>
      <c r="Q232" s="486"/>
      <c r="R232" s="485"/>
      <c r="S232" s="486"/>
      <c r="T232" s="483">
        <f t="shared" si="18"/>
        <v>0</v>
      </c>
      <c r="U232" s="484">
        <f t="shared" si="19"/>
        <v>0</v>
      </c>
      <c r="V232" s="485">
        <v>0</v>
      </c>
      <c r="W232" s="486">
        <v>0</v>
      </c>
      <c r="X232" s="485">
        <v>0</v>
      </c>
      <c r="Y232" s="486">
        <v>0</v>
      </c>
      <c r="Z232" s="485">
        <v>0</v>
      </c>
      <c r="AA232" s="485">
        <v>0</v>
      </c>
      <c r="AB232" s="485"/>
      <c r="AC232" s="486">
        <v>0</v>
      </c>
      <c r="AD232" s="486">
        <v>0</v>
      </c>
      <c r="AE232" s="486">
        <v>0</v>
      </c>
      <c r="AF232" s="485"/>
      <c r="AG232" s="486"/>
    </row>
    <row r="233" spans="1:33">
      <c r="A233" s="3" t="s">
        <v>283</v>
      </c>
      <c r="B233" s="69" t="s">
        <v>298</v>
      </c>
      <c r="C233" s="70"/>
      <c r="D233" s="66">
        <v>162779</v>
      </c>
      <c r="E233" s="66">
        <v>8</v>
      </c>
      <c r="F233" s="483">
        <f t="shared" si="16"/>
        <v>188465</v>
      </c>
      <c r="G233" s="484">
        <f t="shared" si="17"/>
        <v>184652</v>
      </c>
      <c r="H233" s="485">
        <v>147717</v>
      </c>
      <c r="I233" s="486">
        <v>142588</v>
      </c>
      <c r="J233" s="485">
        <v>8030</v>
      </c>
      <c r="K233" s="486">
        <v>7811</v>
      </c>
      <c r="L233" s="485">
        <v>32718</v>
      </c>
      <c r="M233" s="485">
        <v>0</v>
      </c>
      <c r="N233" s="485"/>
      <c r="O233" s="486">
        <v>34253</v>
      </c>
      <c r="P233" s="486">
        <v>0</v>
      </c>
      <c r="Q233" s="486"/>
      <c r="R233" s="485"/>
      <c r="S233" s="486"/>
      <c r="T233" s="483">
        <f t="shared" si="18"/>
        <v>0</v>
      </c>
      <c r="U233" s="484">
        <f t="shared" si="19"/>
        <v>0</v>
      </c>
      <c r="V233" s="485">
        <v>0</v>
      </c>
      <c r="W233" s="486">
        <v>0</v>
      </c>
      <c r="X233" s="485">
        <v>0</v>
      </c>
      <c r="Y233" s="486">
        <v>0</v>
      </c>
      <c r="Z233" s="485">
        <v>0</v>
      </c>
      <c r="AA233" s="485">
        <v>0</v>
      </c>
      <c r="AB233" s="485"/>
      <c r="AC233" s="486">
        <v>0</v>
      </c>
      <c r="AD233" s="486">
        <v>0</v>
      </c>
      <c r="AE233" s="486">
        <v>0</v>
      </c>
      <c r="AF233" s="485"/>
      <c r="AG233" s="486"/>
    </row>
    <row r="234" spans="1:33">
      <c r="A234" s="3" t="s">
        <v>283</v>
      </c>
      <c r="B234" s="2" t="s">
        <v>299</v>
      </c>
      <c r="C234" s="1"/>
      <c r="D234" s="66">
        <v>163426</v>
      </c>
      <c r="E234" s="66">
        <v>8</v>
      </c>
      <c r="F234" s="483">
        <f t="shared" si="16"/>
        <v>665685</v>
      </c>
      <c r="G234" s="484">
        <f t="shared" si="17"/>
        <v>649848</v>
      </c>
      <c r="H234" s="485">
        <v>504569</v>
      </c>
      <c r="I234" s="486">
        <v>485389</v>
      </c>
      <c r="J234" s="485">
        <v>88727</v>
      </c>
      <c r="K234" s="486">
        <v>88968</v>
      </c>
      <c r="L234" s="485">
        <v>72389</v>
      </c>
      <c r="M234" s="485">
        <v>0</v>
      </c>
      <c r="N234" s="485"/>
      <c r="O234" s="486">
        <v>75491</v>
      </c>
      <c r="P234" s="486">
        <v>0</v>
      </c>
      <c r="Q234" s="486"/>
      <c r="R234" s="485"/>
      <c r="S234" s="486"/>
      <c r="T234" s="483">
        <f t="shared" si="18"/>
        <v>0</v>
      </c>
      <c r="U234" s="484">
        <f t="shared" si="19"/>
        <v>0</v>
      </c>
      <c r="V234" s="485">
        <v>0</v>
      </c>
      <c r="W234" s="486">
        <v>0</v>
      </c>
      <c r="X234" s="485">
        <v>0</v>
      </c>
      <c r="Y234" s="486">
        <v>0</v>
      </c>
      <c r="Z234" s="485">
        <v>0</v>
      </c>
      <c r="AA234" s="485">
        <v>0</v>
      </c>
      <c r="AB234" s="485"/>
      <c r="AC234" s="486">
        <v>0</v>
      </c>
      <c r="AD234" s="486">
        <v>0</v>
      </c>
      <c r="AE234" s="486">
        <v>0</v>
      </c>
      <c r="AF234" s="485"/>
      <c r="AG234" s="486"/>
    </row>
    <row r="235" spans="1:33">
      <c r="A235" s="3" t="s">
        <v>283</v>
      </c>
      <c r="B235" s="2" t="s">
        <v>300</v>
      </c>
      <c r="C235" s="68"/>
      <c r="D235" s="66">
        <v>163657</v>
      </c>
      <c r="E235" s="66">
        <v>8</v>
      </c>
      <c r="F235" s="483">
        <f t="shared" si="16"/>
        <v>409193</v>
      </c>
      <c r="G235" s="484">
        <f t="shared" si="17"/>
        <v>391695</v>
      </c>
      <c r="H235" s="485">
        <v>183911</v>
      </c>
      <c r="I235" s="486">
        <v>179555</v>
      </c>
      <c r="J235" s="485">
        <v>182900</v>
      </c>
      <c r="K235" s="486">
        <v>167494</v>
      </c>
      <c r="L235" s="485">
        <v>42382</v>
      </c>
      <c r="M235" s="485">
        <v>0</v>
      </c>
      <c r="N235" s="485"/>
      <c r="O235" s="486">
        <v>44646</v>
      </c>
      <c r="P235" s="486">
        <v>0</v>
      </c>
      <c r="Q235" s="486"/>
      <c r="R235" s="485"/>
      <c r="S235" s="486"/>
      <c r="T235" s="483">
        <f t="shared" si="18"/>
        <v>0</v>
      </c>
      <c r="U235" s="484">
        <f t="shared" si="19"/>
        <v>0</v>
      </c>
      <c r="V235" s="485">
        <v>0</v>
      </c>
      <c r="W235" s="486">
        <v>0</v>
      </c>
      <c r="X235" s="485">
        <v>0</v>
      </c>
      <c r="Y235" s="486">
        <v>0</v>
      </c>
      <c r="Z235" s="485">
        <v>0</v>
      </c>
      <c r="AA235" s="485">
        <v>0</v>
      </c>
      <c r="AB235" s="485"/>
      <c r="AC235" s="486">
        <v>0</v>
      </c>
      <c r="AD235" s="486">
        <v>0</v>
      </c>
      <c r="AE235" s="486">
        <v>0</v>
      </c>
      <c r="AF235" s="485"/>
      <c r="AG235" s="486"/>
    </row>
    <row r="236" spans="1:33">
      <c r="A236" s="3" t="s">
        <v>283</v>
      </c>
      <c r="B236" s="69" t="s">
        <v>301</v>
      </c>
      <c r="C236" s="68" t="s">
        <v>970</v>
      </c>
      <c r="D236" s="66">
        <v>161688</v>
      </c>
      <c r="E236" s="115">
        <v>9</v>
      </c>
      <c r="F236" s="483">
        <f t="shared" si="16"/>
        <v>53541</v>
      </c>
      <c r="G236" s="484">
        <f t="shared" si="17"/>
        <v>49593</v>
      </c>
      <c r="H236" s="485">
        <v>33558</v>
      </c>
      <c r="I236" s="486">
        <v>30819</v>
      </c>
      <c r="J236" s="485">
        <v>8669</v>
      </c>
      <c r="K236" s="486">
        <v>8712</v>
      </c>
      <c r="L236" s="485">
        <v>9291</v>
      </c>
      <c r="M236" s="485">
        <v>2023</v>
      </c>
      <c r="N236" s="485"/>
      <c r="O236" s="486">
        <v>9166</v>
      </c>
      <c r="P236" s="486">
        <v>896</v>
      </c>
      <c r="Q236" s="486"/>
      <c r="R236" s="485"/>
      <c r="S236" s="486"/>
      <c r="T236" s="483">
        <f t="shared" si="18"/>
        <v>0</v>
      </c>
      <c r="U236" s="484">
        <f t="shared" si="19"/>
        <v>0</v>
      </c>
      <c r="V236" s="485">
        <v>0</v>
      </c>
      <c r="W236" s="486">
        <v>0</v>
      </c>
      <c r="X236" s="485">
        <v>0</v>
      </c>
      <c r="Y236" s="486">
        <v>0</v>
      </c>
      <c r="Z236" s="485">
        <v>0</v>
      </c>
      <c r="AA236" s="485">
        <v>0</v>
      </c>
      <c r="AB236" s="485"/>
      <c r="AC236" s="486">
        <v>0</v>
      </c>
      <c r="AD236" s="486">
        <v>0</v>
      </c>
      <c r="AE236" s="486">
        <v>0</v>
      </c>
      <c r="AF236" s="485"/>
      <c r="AG236" s="486"/>
    </row>
    <row r="237" spans="1:33">
      <c r="A237" s="3" t="s">
        <v>283</v>
      </c>
      <c r="B237" s="2" t="s">
        <v>302</v>
      </c>
      <c r="C237" s="1"/>
      <c r="D237" s="66">
        <v>161864</v>
      </c>
      <c r="E237" s="66">
        <v>9</v>
      </c>
      <c r="F237" s="483">
        <f t="shared" si="16"/>
        <v>77791</v>
      </c>
      <c r="G237" s="484">
        <f t="shared" si="17"/>
        <v>82991.399999999994</v>
      </c>
      <c r="H237" s="485">
        <v>54789</v>
      </c>
      <c r="I237" s="486">
        <v>57526.9</v>
      </c>
      <c r="J237" s="485">
        <v>3198</v>
      </c>
      <c r="K237" s="486">
        <v>9504.5</v>
      </c>
      <c r="L237" s="485">
        <v>19804</v>
      </c>
      <c r="M237" s="485">
        <v>0</v>
      </c>
      <c r="N237" s="485"/>
      <c r="O237" s="486">
        <v>15960</v>
      </c>
      <c r="P237" s="486">
        <v>0</v>
      </c>
      <c r="Q237" s="486"/>
      <c r="R237" s="485"/>
      <c r="S237" s="486"/>
      <c r="T237" s="483">
        <f t="shared" si="18"/>
        <v>0</v>
      </c>
      <c r="U237" s="484">
        <f t="shared" si="19"/>
        <v>0</v>
      </c>
      <c r="V237" s="485">
        <v>0</v>
      </c>
      <c r="W237" s="486">
        <v>0</v>
      </c>
      <c r="X237" s="485">
        <v>0</v>
      </c>
      <c r="Y237" s="486">
        <v>0</v>
      </c>
      <c r="Z237" s="485">
        <v>0</v>
      </c>
      <c r="AA237" s="485">
        <v>0</v>
      </c>
      <c r="AB237" s="485"/>
      <c r="AC237" s="486">
        <v>0</v>
      </c>
      <c r="AD237" s="486">
        <v>0</v>
      </c>
      <c r="AE237" s="486">
        <v>0</v>
      </c>
      <c r="AF237" s="485"/>
      <c r="AG237" s="486"/>
    </row>
    <row r="238" spans="1:33">
      <c r="A238" s="3" t="s">
        <v>283</v>
      </c>
      <c r="B238" s="2" t="s">
        <v>303</v>
      </c>
      <c r="C238" s="1" t="s">
        <v>971</v>
      </c>
      <c r="D238" s="66">
        <v>405872</v>
      </c>
      <c r="E238" s="66">
        <v>9</v>
      </c>
      <c r="F238" s="483">
        <f t="shared" si="16"/>
        <v>60502</v>
      </c>
      <c r="G238" s="484">
        <f t="shared" si="17"/>
        <v>58589.5</v>
      </c>
      <c r="H238" s="485">
        <v>45513</v>
      </c>
      <c r="I238" s="486">
        <v>44027.5</v>
      </c>
      <c r="J238" s="485">
        <v>686</v>
      </c>
      <c r="K238" s="486">
        <v>1909</v>
      </c>
      <c r="L238" s="485">
        <v>14267</v>
      </c>
      <c r="M238" s="485">
        <v>36</v>
      </c>
      <c r="N238" s="485"/>
      <c r="O238" s="486">
        <v>12602</v>
      </c>
      <c r="P238" s="486">
        <v>51</v>
      </c>
      <c r="Q238" s="486"/>
      <c r="R238" s="485"/>
      <c r="S238" s="486"/>
      <c r="T238" s="483">
        <f t="shared" si="18"/>
        <v>0</v>
      </c>
      <c r="U238" s="484">
        <f t="shared" si="19"/>
        <v>0</v>
      </c>
      <c r="V238" s="485">
        <v>0</v>
      </c>
      <c r="W238" s="486">
        <v>0</v>
      </c>
      <c r="X238" s="485">
        <v>0</v>
      </c>
      <c r="Y238" s="486">
        <v>0</v>
      </c>
      <c r="Z238" s="485">
        <v>0</v>
      </c>
      <c r="AA238" s="485">
        <v>0</v>
      </c>
      <c r="AB238" s="485"/>
      <c r="AC238" s="486">
        <v>0</v>
      </c>
      <c r="AD238" s="486">
        <v>0</v>
      </c>
      <c r="AE238" s="486">
        <v>0</v>
      </c>
      <c r="AF238" s="485"/>
      <c r="AG238" s="486"/>
    </row>
    <row r="239" spans="1:33">
      <c r="A239" s="3" t="s">
        <v>283</v>
      </c>
      <c r="B239" s="2" t="s">
        <v>304</v>
      </c>
      <c r="C239" s="1"/>
      <c r="D239" s="66">
        <v>162557</v>
      </c>
      <c r="E239" s="66">
        <v>9</v>
      </c>
      <c r="F239" s="483">
        <f t="shared" si="16"/>
        <v>113685</v>
      </c>
      <c r="G239" s="484">
        <f t="shared" si="17"/>
        <v>107702</v>
      </c>
      <c r="H239" s="485">
        <v>81900</v>
      </c>
      <c r="I239" s="486">
        <v>75041</v>
      </c>
      <c r="J239" s="485">
        <v>7341</v>
      </c>
      <c r="K239" s="486">
        <v>7822</v>
      </c>
      <c r="L239" s="485">
        <v>24444</v>
      </c>
      <c r="M239" s="485">
        <v>0</v>
      </c>
      <c r="N239" s="485"/>
      <c r="O239" s="486">
        <v>24839</v>
      </c>
      <c r="P239" s="486">
        <v>0</v>
      </c>
      <c r="Q239" s="486"/>
      <c r="R239" s="485"/>
      <c r="S239" s="486"/>
      <c r="T239" s="483">
        <f t="shared" si="18"/>
        <v>0</v>
      </c>
      <c r="U239" s="484">
        <f t="shared" si="19"/>
        <v>0</v>
      </c>
      <c r="V239" s="485">
        <v>0</v>
      </c>
      <c r="W239" s="486">
        <v>0</v>
      </c>
      <c r="X239" s="485">
        <v>0</v>
      </c>
      <c r="Y239" s="486">
        <v>0</v>
      </c>
      <c r="Z239" s="485">
        <v>0</v>
      </c>
      <c r="AA239" s="485">
        <v>0</v>
      </c>
      <c r="AB239" s="485"/>
      <c r="AC239" s="486">
        <v>0</v>
      </c>
      <c r="AD239" s="486">
        <v>0</v>
      </c>
      <c r="AE239" s="486">
        <v>0</v>
      </c>
      <c r="AF239" s="485"/>
      <c r="AG239" s="486"/>
    </row>
    <row r="240" spans="1:33">
      <c r="A240" s="3" t="s">
        <v>283</v>
      </c>
      <c r="B240" s="2" t="s">
        <v>305</v>
      </c>
      <c r="C240" s="1"/>
      <c r="D240" s="66">
        <v>162690</v>
      </c>
      <c r="E240" s="66">
        <v>9</v>
      </c>
      <c r="F240" s="483">
        <f t="shared" si="16"/>
        <v>78222</v>
      </c>
      <c r="G240" s="484">
        <f t="shared" si="17"/>
        <v>79544</v>
      </c>
      <c r="H240" s="485">
        <v>49296</v>
      </c>
      <c r="I240" s="486">
        <v>49376</v>
      </c>
      <c r="J240" s="485">
        <v>5092</v>
      </c>
      <c r="K240" s="486">
        <v>5254</v>
      </c>
      <c r="L240" s="485">
        <v>23773</v>
      </c>
      <c r="M240" s="485">
        <v>0</v>
      </c>
      <c r="N240" s="485"/>
      <c r="O240" s="486">
        <v>24818</v>
      </c>
      <c r="P240" s="486">
        <v>0</v>
      </c>
      <c r="Q240" s="486"/>
      <c r="R240" s="485">
        <v>61</v>
      </c>
      <c r="S240" s="486">
        <v>96</v>
      </c>
      <c r="T240" s="483">
        <f t="shared" si="18"/>
        <v>0</v>
      </c>
      <c r="U240" s="484">
        <f t="shared" si="19"/>
        <v>0</v>
      </c>
      <c r="V240" s="485">
        <v>0</v>
      </c>
      <c r="W240" s="486">
        <v>0</v>
      </c>
      <c r="X240" s="485">
        <v>0</v>
      </c>
      <c r="Y240" s="486">
        <v>0</v>
      </c>
      <c r="Z240" s="485">
        <v>0</v>
      </c>
      <c r="AA240" s="485">
        <v>0</v>
      </c>
      <c r="AB240" s="485"/>
      <c r="AC240" s="486">
        <v>0</v>
      </c>
      <c r="AD240" s="486">
        <v>0</v>
      </c>
      <c r="AE240" s="486">
        <v>0</v>
      </c>
      <c r="AF240" s="485"/>
      <c r="AG240" s="486"/>
    </row>
    <row r="241" spans="1:33" s="28" customFormat="1" ht="12.75" customHeight="1">
      <c r="A241" s="3" t="s">
        <v>283</v>
      </c>
      <c r="B241" s="2" t="s">
        <v>306</v>
      </c>
      <c r="C241" s="1"/>
      <c r="D241" s="66">
        <v>162706</v>
      </c>
      <c r="E241" s="66">
        <v>9</v>
      </c>
      <c r="F241" s="483">
        <f t="shared" si="16"/>
        <v>112934.5</v>
      </c>
      <c r="G241" s="484">
        <f t="shared" si="17"/>
        <v>105968</v>
      </c>
      <c r="H241" s="485">
        <v>72596.5</v>
      </c>
      <c r="I241" s="486">
        <v>67225</v>
      </c>
      <c r="J241" s="485">
        <v>2971</v>
      </c>
      <c r="K241" s="486">
        <v>2572</v>
      </c>
      <c r="L241" s="485">
        <v>37367</v>
      </c>
      <c r="M241" s="485">
        <v>0</v>
      </c>
      <c r="N241" s="485"/>
      <c r="O241" s="486">
        <v>36171</v>
      </c>
      <c r="P241" s="486">
        <v>0</v>
      </c>
      <c r="Q241" s="486"/>
      <c r="R241" s="485"/>
      <c r="S241" s="486"/>
      <c r="T241" s="483">
        <f t="shared" si="18"/>
        <v>0</v>
      </c>
      <c r="U241" s="484">
        <f t="shared" si="19"/>
        <v>0</v>
      </c>
      <c r="V241" s="485">
        <v>0</v>
      </c>
      <c r="W241" s="486">
        <v>0</v>
      </c>
      <c r="X241" s="485">
        <v>0</v>
      </c>
      <c r="Y241" s="486">
        <v>0</v>
      </c>
      <c r="Z241" s="485">
        <v>0</v>
      </c>
      <c r="AA241" s="485">
        <v>0</v>
      </c>
      <c r="AB241" s="485"/>
      <c r="AC241" s="486">
        <v>0</v>
      </c>
      <c r="AD241" s="486">
        <v>0</v>
      </c>
      <c r="AE241" s="486">
        <v>0</v>
      </c>
      <c r="AF241" s="485"/>
      <c r="AG241" s="486"/>
    </row>
    <row r="242" spans="1:33" s="28" customFormat="1" ht="15" customHeight="1">
      <c r="A242" s="3" t="s">
        <v>283</v>
      </c>
      <c r="B242" s="2" t="s">
        <v>308</v>
      </c>
      <c r="C242" s="1"/>
      <c r="D242" s="66">
        <v>162104</v>
      </c>
      <c r="E242" s="66">
        <v>10</v>
      </c>
      <c r="F242" s="483">
        <f t="shared" si="16"/>
        <v>45607</v>
      </c>
      <c r="G242" s="484">
        <f t="shared" si="17"/>
        <v>52326.5</v>
      </c>
      <c r="H242" s="485">
        <v>32092</v>
      </c>
      <c r="I242" s="486">
        <v>37667.5</v>
      </c>
      <c r="J242" s="485">
        <v>2432</v>
      </c>
      <c r="K242" s="486">
        <v>2552</v>
      </c>
      <c r="L242" s="485">
        <v>11083</v>
      </c>
      <c r="M242" s="485">
        <v>0</v>
      </c>
      <c r="N242" s="485"/>
      <c r="O242" s="486">
        <v>11957</v>
      </c>
      <c r="P242" s="486">
        <v>150</v>
      </c>
      <c r="Q242" s="486"/>
      <c r="R242" s="485"/>
      <c r="S242" s="486"/>
      <c r="T242" s="483">
        <f t="shared" si="18"/>
        <v>0</v>
      </c>
      <c r="U242" s="484">
        <f t="shared" si="19"/>
        <v>0</v>
      </c>
      <c r="V242" s="485">
        <v>0</v>
      </c>
      <c r="W242" s="486">
        <v>0</v>
      </c>
      <c r="X242" s="485">
        <v>0</v>
      </c>
      <c r="Y242" s="486">
        <v>0</v>
      </c>
      <c r="Z242" s="485">
        <v>0</v>
      </c>
      <c r="AA242" s="485">
        <v>0</v>
      </c>
      <c r="AB242" s="485"/>
      <c r="AC242" s="486">
        <v>0</v>
      </c>
      <c r="AD242" s="486">
        <v>0</v>
      </c>
      <c r="AE242" s="486">
        <v>0</v>
      </c>
      <c r="AF242" s="485"/>
      <c r="AG242" s="486"/>
    </row>
    <row r="243" spans="1:33">
      <c r="A243" s="3" t="s">
        <v>283</v>
      </c>
      <c r="B243" s="2" t="s">
        <v>309</v>
      </c>
      <c r="C243" s="1"/>
      <c r="D243" s="66">
        <v>162168</v>
      </c>
      <c r="E243" s="66">
        <v>10</v>
      </c>
      <c r="F243" s="483">
        <f t="shared" si="16"/>
        <v>36291</v>
      </c>
      <c r="G243" s="484">
        <f t="shared" si="17"/>
        <v>42408</v>
      </c>
      <c r="H243" s="485">
        <v>22028</v>
      </c>
      <c r="I243" s="486">
        <v>28878</v>
      </c>
      <c r="J243" s="485">
        <v>4117</v>
      </c>
      <c r="K243" s="486">
        <v>2259</v>
      </c>
      <c r="L243" s="485">
        <v>9294</v>
      </c>
      <c r="M243" s="485">
        <v>852</v>
      </c>
      <c r="N243" s="485"/>
      <c r="O243" s="486">
        <v>11271</v>
      </c>
      <c r="P243" s="486">
        <v>0</v>
      </c>
      <c r="Q243" s="486"/>
      <c r="R243" s="485"/>
      <c r="S243" s="486"/>
      <c r="T243" s="483">
        <f t="shared" si="18"/>
        <v>0</v>
      </c>
      <c r="U243" s="484">
        <f t="shared" si="19"/>
        <v>0</v>
      </c>
      <c r="V243" s="485">
        <v>0</v>
      </c>
      <c r="W243" s="486">
        <v>0</v>
      </c>
      <c r="X243" s="485">
        <v>0</v>
      </c>
      <c r="Y243" s="486">
        <v>0</v>
      </c>
      <c r="Z243" s="485">
        <v>0</v>
      </c>
      <c r="AA243" s="485">
        <v>0</v>
      </c>
      <c r="AB243" s="485"/>
      <c r="AC243" s="486">
        <v>0</v>
      </c>
      <c r="AD243" s="486">
        <v>0</v>
      </c>
      <c r="AE243" s="486">
        <v>0</v>
      </c>
      <c r="AF243" s="485"/>
      <c r="AG243" s="486"/>
    </row>
    <row r="244" spans="1:33">
      <c r="A244" s="3" t="s">
        <v>283</v>
      </c>
      <c r="B244" s="2" t="s">
        <v>310</v>
      </c>
      <c r="C244" s="1"/>
      <c r="D244" s="66">
        <v>162609</v>
      </c>
      <c r="E244" s="66">
        <v>10</v>
      </c>
      <c r="F244" s="483">
        <f t="shared" si="16"/>
        <v>15301</v>
      </c>
      <c r="G244" s="484">
        <f t="shared" si="17"/>
        <v>34688</v>
      </c>
      <c r="H244" s="485">
        <v>11996</v>
      </c>
      <c r="I244" s="486">
        <v>20086</v>
      </c>
      <c r="J244" s="485">
        <v>116</v>
      </c>
      <c r="K244" s="486">
        <v>3735</v>
      </c>
      <c r="L244" s="485">
        <v>2793</v>
      </c>
      <c r="M244" s="485">
        <v>396</v>
      </c>
      <c r="N244" s="485"/>
      <c r="O244" s="486">
        <v>10178</v>
      </c>
      <c r="P244" s="486">
        <v>689</v>
      </c>
      <c r="Q244" s="486"/>
      <c r="R244" s="485"/>
      <c r="S244" s="486"/>
      <c r="T244" s="483">
        <f t="shared" si="18"/>
        <v>0</v>
      </c>
      <c r="U244" s="484">
        <f t="shared" si="19"/>
        <v>0</v>
      </c>
      <c r="V244" s="485">
        <v>0</v>
      </c>
      <c r="W244" s="486">
        <v>0</v>
      </c>
      <c r="X244" s="485">
        <v>0</v>
      </c>
      <c r="Y244" s="486">
        <v>0</v>
      </c>
      <c r="Z244" s="485">
        <v>0</v>
      </c>
      <c r="AA244" s="485">
        <v>0</v>
      </c>
      <c r="AB244" s="485"/>
      <c r="AC244" s="486">
        <v>0</v>
      </c>
      <c r="AD244" s="486">
        <v>0</v>
      </c>
      <c r="AE244" s="486">
        <v>0</v>
      </c>
      <c r="AF244" s="485"/>
      <c r="AG244" s="486"/>
    </row>
    <row r="245" spans="1:33" s="28" customFormat="1" ht="12.75" customHeight="1">
      <c r="A245" s="3" t="s">
        <v>283</v>
      </c>
      <c r="B245" s="116" t="s">
        <v>307</v>
      </c>
      <c r="C245" s="114"/>
      <c r="D245" s="66">
        <v>164313</v>
      </c>
      <c r="E245" s="66">
        <v>10</v>
      </c>
      <c r="F245" s="483">
        <f t="shared" si="16"/>
        <v>52756.5</v>
      </c>
      <c r="G245" s="484">
        <f t="shared" si="17"/>
        <v>14581.5</v>
      </c>
      <c r="H245" s="485">
        <v>40409.5</v>
      </c>
      <c r="I245" s="486">
        <v>10413.5</v>
      </c>
      <c r="J245" s="485">
        <v>2401</v>
      </c>
      <c r="K245" s="486">
        <v>685</v>
      </c>
      <c r="L245" s="485">
        <v>9871</v>
      </c>
      <c r="M245" s="485">
        <v>75</v>
      </c>
      <c r="N245" s="485"/>
      <c r="O245" s="486">
        <v>3303</v>
      </c>
      <c r="P245" s="486">
        <v>180</v>
      </c>
      <c r="Q245" s="486"/>
      <c r="R245" s="485"/>
      <c r="S245" s="486"/>
      <c r="T245" s="483">
        <f t="shared" si="18"/>
        <v>0</v>
      </c>
      <c r="U245" s="484">
        <f t="shared" si="19"/>
        <v>0</v>
      </c>
      <c r="V245" s="485">
        <v>0</v>
      </c>
      <c r="W245" s="486">
        <v>0</v>
      </c>
      <c r="X245" s="485">
        <v>0</v>
      </c>
      <c r="Y245" s="486">
        <v>0</v>
      </c>
      <c r="Z245" s="485">
        <v>0</v>
      </c>
      <c r="AA245" s="485">
        <v>0</v>
      </c>
      <c r="AB245" s="485"/>
      <c r="AC245" s="486">
        <v>0</v>
      </c>
      <c r="AD245" s="486">
        <v>0</v>
      </c>
      <c r="AE245" s="486">
        <v>0</v>
      </c>
      <c r="AF245" s="485"/>
      <c r="AG245" s="486"/>
    </row>
    <row r="246" spans="1:33">
      <c r="A246" s="3" t="s">
        <v>283</v>
      </c>
      <c r="B246" s="2" t="s">
        <v>311</v>
      </c>
      <c r="C246" s="1"/>
      <c r="D246" s="66">
        <v>163204</v>
      </c>
      <c r="E246" s="66">
        <v>15</v>
      </c>
      <c r="F246" s="483">
        <f t="shared" si="16"/>
        <v>793333</v>
      </c>
      <c r="G246" s="484">
        <f t="shared" si="17"/>
        <v>822432</v>
      </c>
      <c r="H246" s="485">
        <v>0</v>
      </c>
      <c r="I246" s="486">
        <v>0</v>
      </c>
      <c r="J246" s="485">
        <v>44921</v>
      </c>
      <c r="K246" s="486">
        <v>41711</v>
      </c>
      <c r="L246" s="485">
        <v>748412</v>
      </c>
      <c r="M246" s="485">
        <v>0</v>
      </c>
      <c r="N246" s="485"/>
      <c r="O246" s="486">
        <v>780721</v>
      </c>
      <c r="P246" s="486">
        <v>0</v>
      </c>
      <c r="Q246" s="486"/>
      <c r="R246" s="485"/>
      <c r="S246" s="486"/>
      <c r="T246" s="483">
        <f t="shared" si="18"/>
        <v>205005</v>
      </c>
      <c r="U246" s="484">
        <f t="shared" si="19"/>
        <v>208981</v>
      </c>
      <c r="V246" s="485">
        <v>0</v>
      </c>
      <c r="W246" s="486">
        <v>0</v>
      </c>
      <c r="X246" s="485">
        <v>288</v>
      </c>
      <c r="Y246" s="486">
        <v>1686</v>
      </c>
      <c r="Z246" s="485">
        <v>204717</v>
      </c>
      <c r="AA246" s="485">
        <v>0</v>
      </c>
      <c r="AB246" s="485"/>
      <c r="AC246" s="486">
        <v>207295</v>
      </c>
      <c r="AD246" s="486">
        <v>0</v>
      </c>
      <c r="AE246" s="486">
        <v>0</v>
      </c>
      <c r="AF246" s="485"/>
      <c r="AG246" s="486"/>
    </row>
    <row r="247" spans="1:33" s="28" customFormat="1" ht="12.75" customHeight="1">
      <c r="A247" s="67" t="s">
        <v>283</v>
      </c>
      <c r="B247" s="2" t="s">
        <v>312</v>
      </c>
      <c r="C247" s="1"/>
      <c r="D247" s="66">
        <v>163259</v>
      </c>
      <c r="E247" s="66">
        <v>15</v>
      </c>
      <c r="F247" s="483">
        <f t="shared" si="16"/>
        <v>22683</v>
      </c>
      <c r="G247" s="484">
        <f t="shared" si="17"/>
        <v>22887</v>
      </c>
      <c r="H247" s="485">
        <v>11428.5</v>
      </c>
      <c r="I247" s="486">
        <v>11558</v>
      </c>
      <c r="J247" s="485">
        <v>7076</v>
      </c>
      <c r="K247" s="486">
        <v>7556.5</v>
      </c>
      <c r="L247" s="485">
        <v>4178.5</v>
      </c>
      <c r="M247" s="485">
        <v>0</v>
      </c>
      <c r="N247" s="485"/>
      <c r="O247" s="486">
        <v>3764</v>
      </c>
      <c r="P247" s="486">
        <v>8.5</v>
      </c>
      <c r="Q247" s="486"/>
      <c r="R247" s="485"/>
      <c r="S247" s="486"/>
      <c r="T247" s="483">
        <f t="shared" si="18"/>
        <v>50170</v>
      </c>
      <c r="U247" s="484">
        <f t="shared" si="19"/>
        <v>52610</v>
      </c>
      <c r="V247" s="485">
        <v>27127</v>
      </c>
      <c r="W247" s="486">
        <v>26866</v>
      </c>
      <c r="X247" s="485">
        <v>7115</v>
      </c>
      <c r="Y247" s="486">
        <v>7836</v>
      </c>
      <c r="Z247" s="485">
        <v>15807</v>
      </c>
      <c r="AA247" s="485">
        <v>121</v>
      </c>
      <c r="AB247" s="485"/>
      <c r="AC247" s="486">
        <v>17559</v>
      </c>
      <c r="AD247" s="486">
        <v>349</v>
      </c>
      <c r="AE247" s="486">
        <v>0</v>
      </c>
      <c r="AF247" s="485"/>
      <c r="AG247" s="486"/>
    </row>
    <row r="248" spans="1:33" s="28" customFormat="1" ht="13.5" customHeight="1">
      <c r="A248" s="71" t="s">
        <v>313</v>
      </c>
      <c r="B248" s="72" t="s">
        <v>314</v>
      </c>
      <c r="C248" s="73"/>
      <c r="D248" s="74">
        <v>176080</v>
      </c>
      <c r="E248" s="74">
        <v>1</v>
      </c>
      <c r="F248" s="483">
        <f t="shared" si="16"/>
        <v>513921</v>
      </c>
      <c r="G248" s="484">
        <f t="shared" si="17"/>
        <v>523164</v>
      </c>
      <c r="H248" s="485">
        <v>470636</v>
      </c>
      <c r="I248" s="486">
        <v>476961</v>
      </c>
      <c r="J248" s="485">
        <v>10723</v>
      </c>
      <c r="K248" s="486">
        <v>9739</v>
      </c>
      <c r="L248" s="485">
        <v>32413</v>
      </c>
      <c r="M248" s="485">
        <v>147</v>
      </c>
      <c r="N248" s="485"/>
      <c r="O248" s="486">
        <v>35692</v>
      </c>
      <c r="P248" s="486">
        <v>766</v>
      </c>
      <c r="Q248" s="486">
        <v>6</v>
      </c>
      <c r="R248" s="485">
        <v>2</v>
      </c>
      <c r="S248" s="486"/>
      <c r="T248" s="483">
        <f t="shared" si="18"/>
        <v>55256</v>
      </c>
      <c r="U248" s="484">
        <f t="shared" si="19"/>
        <v>54777</v>
      </c>
      <c r="V248" s="485">
        <v>39557</v>
      </c>
      <c r="W248" s="486">
        <v>38261</v>
      </c>
      <c r="X248" s="485">
        <v>1516</v>
      </c>
      <c r="Y248" s="486">
        <v>1970</v>
      </c>
      <c r="Z248" s="485">
        <v>13752</v>
      </c>
      <c r="AA248" s="485">
        <v>413</v>
      </c>
      <c r="AB248" s="485"/>
      <c r="AC248" s="486">
        <v>14119</v>
      </c>
      <c r="AD248" s="486">
        <v>427</v>
      </c>
      <c r="AE248" s="486"/>
      <c r="AF248" s="485">
        <v>18</v>
      </c>
      <c r="AG248" s="486"/>
    </row>
    <row r="249" spans="1:33" s="28" customFormat="1" ht="12.75" customHeight="1">
      <c r="A249" s="71" t="s">
        <v>313</v>
      </c>
      <c r="B249" s="72" t="s">
        <v>317</v>
      </c>
      <c r="C249" s="118"/>
      <c r="D249" s="74">
        <v>176017</v>
      </c>
      <c r="E249" s="74">
        <v>1</v>
      </c>
      <c r="F249" s="483">
        <f t="shared" si="16"/>
        <v>565459</v>
      </c>
      <c r="G249" s="484">
        <f t="shared" si="17"/>
        <v>553585</v>
      </c>
      <c r="H249" s="485">
        <v>466806</v>
      </c>
      <c r="I249" s="486">
        <v>440627</v>
      </c>
      <c r="J249" s="485">
        <v>35887</v>
      </c>
      <c r="K249" s="486">
        <v>31637</v>
      </c>
      <c r="L249" s="485">
        <v>48966</v>
      </c>
      <c r="M249" s="485">
        <v>11193</v>
      </c>
      <c r="N249" s="485"/>
      <c r="O249" s="486">
        <v>66554</v>
      </c>
      <c r="P249" s="486">
        <v>10374</v>
      </c>
      <c r="Q249" s="486"/>
      <c r="R249" s="485">
        <v>2607</v>
      </c>
      <c r="S249" s="486">
        <v>4393</v>
      </c>
      <c r="T249" s="483">
        <f t="shared" si="18"/>
        <v>66244</v>
      </c>
      <c r="U249" s="484">
        <f t="shared" si="19"/>
        <v>67783</v>
      </c>
      <c r="V249" s="485">
        <v>57755</v>
      </c>
      <c r="W249" s="486">
        <v>59273</v>
      </c>
      <c r="X249" s="485">
        <v>954</v>
      </c>
      <c r="Y249" s="486">
        <v>1230</v>
      </c>
      <c r="Z249" s="485">
        <v>6758</v>
      </c>
      <c r="AA249" s="485">
        <v>753</v>
      </c>
      <c r="AB249" s="485"/>
      <c r="AC249" s="486">
        <v>6707</v>
      </c>
      <c r="AD249" s="486">
        <v>564</v>
      </c>
      <c r="AE249" s="486"/>
      <c r="AF249" s="485">
        <v>24</v>
      </c>
      <c r="AG249" s="486">
        <v>9</v>
      </c>
    </row>
    <row r="250" spans="1:33">
      <c r="A250" s="71" t="s">
        <v>313</v>
      </c>
      <c r="B250" s="72" t="s">
        <v>315</v>
      </c>
      <c r="C250" s="73"/>
      <c r="D250" s="74">
        <v>176372</v>
      </c>
      <c r="E250" s="74">
        <v>1</v>
      </c>
      <c r="F250" s="483">
        <f t="shared" si="16"/>
        <v>326683</v>
      </c>
      <c r="G250" s="484">
        <f t="shared" si="17"/>
        <v>332678</v>
      </c>
      <c r="H250" s="485">
        <v>208669</v>
      </c>
      <c r="I250" s="486">
        <v>209439</v>
      </c>
      <c r="J250" s="485">
        <v>29740</v>
      </c>
      <c r="K250" s="486">
        <v>26125</v>
      </c>
      <c r="L250" s="485">
        <v>82614</v>
      </c>
      <c r="M250" s="485">
        <v>5660</v>
      </c>
      <c r="N250" s="485"/>
      <c r="O250" s="486">
        <v>94435</v>
      </c>
      <c r="P250" s="486">
        <v>2679</v>
      </c>
      <c r="Q250" s="486"/>
      <c r="R250" s="485"/>
      <c r="S250" s="486"/>
      <c r="T250" s="483">
        <f t="shared" si="18"/>
        <v>51846</v>
      </c>
      <c r="U250" s="484">
        <f t="shared" si="19"/>
        <v>51229</v>
      </c>
      <c r="V250" s="485">
        <v>29570</v>
      </c>
      <c r="W250" s="486">
        <v>27400</v>
      </c>
      <c r="X250" s="485">
        <v>4467</v>
      </c>
      <c r="Y250" s="486">
        <v>3733</v>
      </c>
      <c r="Z250" s="485">
        <v>16896</v>
      </c>
      <c r="AA250" s="485">
        <v>841</v>
      </c>
      <c r="AB250" s="485"/>
      <c r="AC250" s="486">
        <v>19172</v>
      </c>
      <c r="AD250" s="486">
        <v>877</v>
      </c>
      <c r="AE250" s="486"/>
      <c r="AF250" s="485">
        <v>72</v>
      </c>
      <c r="AG250" s="486">
        <v>47</v>
      </c>
    </row>
    <row r="251" spans="1:33" s="28" customFormat="1" ht="15" customHeight="1">
      <c r="A251" s="71" t="s">
        <v>313</v>
      </c>
      <c r="B251" s="72" t="s">
        <v>316</v>
      </c>
      <c r="C251" s="73"/>
      <c r="D251" s="74">
        <v>175856</v>
      </c>
      <c r="E251" s="74">
        <v>2</v>
      </c>
      <c r="F251" s="483">
        <f t="shared" si="16"/>
        <v>160290</v>
      </c>
      <c r="G251" s="484">
        <f t="shared" si="17"/>
        <v>151243</v>
      </c>
      <c r="H251" s="485">
        <v>111456</v>
      </c>
      <c r="I251" s="486">
        <v>102015</v>
      </c>
      <c r="J251" s="485">
        <v>3577</v>
      </c>
      <c r="K251" s="486">
        <v>2493</v>
      </c>
      <c r="L251" s="485">
        <v>45257</v>
      </c>
      <c r="M251" s="485"/>
      <c r="N251" s="485"/>
      <c r="O251" s="486">
        <v>46735</v>
      </c>
      <c r="P251" s="486"/>
      <c r="Q251" s="486"/>
      <c r="R251" s="485"/>
      <c r="S251" s="486"/>
      <c r="T251" s="483">
        <f t="shared" si="18"/>
        <v>31757</v>
      </c>
      <c r="U251" s="484">
        <f t="shared" si="19"/>
        <v>29347</v>
      </c>
      <c r="V251" s="485">
        <v>11115</v>
      </c>
      <c r="W251" s="486">
        <v>9772</v>
      </c>
      <c r="X251" s="485">
        <v>6525</v>
      </c>
      <c r="Y251" s="486">
        <v>5402</v>
      </c>
      <c r="Z251" s="485">
        <v>14117</v>
      </c>
      <c r="AA251" s="485"/>
      <c r="AB251" s="485"/>
      <c r="AC251" s="486">
        <v>14173</v>
      </c>
      <c r="AD251" s="486"/>
      <c r="AE251" s="486"/>
      <c r="AF251" s="485"/>
      <c r="AG251" s="486"/>
    </row>
    <row r="252" spans="1:33">
      <c r="A252" s="71" t="s">
        <v>313</v>
      </c>
      <c r="B252" s="72" t="s">
        <v>318</v>
      </c>
      <c r="C252" s="73"/>
      <c r="D252" s="74">
        <v>175342</v>
      </c>
      <c r="E252" s="74">
        <v>4</v>
      </c>
      <c r="F252" s="483">
        <f t="shared" si="16"/>
        <v>89132</v>
      </c>
      <c r="G252" s="484">
        <f t="shared" si="17"/>
        <v>94590</v>
      </c>
      <c r="H252" s="485">
        <v>62316</v>
      </c>
      <c r="I252" s="486">
        <v>62426</v>
      </c>
      <c r="J252" s="485">
        <v>2778</v>
      </c>
      <c r="K252" s="486">
        <v>1889</v>
      </c>
      <c r="L252" s="485">
        <v>24038</v>
      </c>
      <c r="M252" s="485"/>
      <c r="N252" s="485"/>
      <c r="O252" s="486">
        <v>30275</v>
      </c>
      <c r="P252" s="486"/>
      <c r="Q252" s="486"/>
      <c r="R252" s="485"/>
      <c r="S252" s="486"/>
      <c r="T252" s="483">
        <f t="shared" si="18"/>
        <v>9500</v>
      </c>
      <c r="U252" s="484">
        <f t="shared" si="19"/>
        <v>8396</v>
      </c>
      <c r="V252" s="485">
        <v>2078</v>
      </c>
      <c r="W252" s="486">
        <v>1680</v>
      </c>
      <c r="X252" s="485">
        <v>87</v>
      </c>
      <c r="Y252" s="486">
        <v>78</v>
      </c>
      <c r="Z252" s="485">
        <v>7335</v>
      </c>
      <c r="AA252" s="485"/>
      <c r="AB252" s="485"/>
      <c r="AC252" s="486">
        <v>6638</v>
      </c>
      <c r="AD252" s="486"/>
      <c r="AE252" s="486"/>
      <c r="AF252" s="485"/>
      <c r="AG252" s="486"/>
    </row>
    <row r="253" spans="1:33">
      <c r="A253" s="71" t="s">
        <v>313</v>
      </c>
      <c r="B253" s="72" t="s">
        <v>319</v>
      </c>
      <c r="C253" s="73"/>
      <c r="D253" s="74">
        <v>175616</v>
      </c>
      <c r="E253" s="74">
        <v>4</v>
      </c>
      <c r="F253" s="483">
        <f t="shared" si="16"/>
        <v>72849</v>
      </c>
      <c r="G253" s="484">
        <f t="shared" si="17"/>
        <v>73075</v>
      </c>
      <c r="H253" s="485">
        <v>55089</v>
      </c>
      <c r="I253" s="486">
        <v>52305</v>
      </c>
      <c r="J253" s="485">
        <v>3737</v>
      </c>
      <c r="K253" s="486">
        <v>6017</v>
      </c>
      <c r="L253" s="485">
        <v>14023</v>
      </c>
      <c r="M253" s="485"/>
      <c r="N253" s="485"/>
      <c r="O253" s="486">
        <v>14741</v>
      </c>
      <c r="P253" s="486"/>
      <c r="Q253" s="486">
        <v>12</v>
      </c>
      <c r="R253" s="485"/>
      <c r="S253" s="486"/>
      <c r="T253" s="483">
        <f t="shared" si="18"/>
        <v>22657</v>
      </c>
      <c r="U253" s="484">
        <f t="shared" si="19"/>
        <v>21387</v>
      </c>
      <c r="V253" s="485">
        <v>3272</v>
      </c>
      <c r="W253" s="486">
        <v>2780</v>
      </c>
      <c r="X253" s="485"/>
      <c r="Y253" s="486">
        <v>0</v>
      </c>
      <c r="Z253" s="485">
        <v>19355</v>
      </c>
      <c r="AA253" s="485"/>
      <c r="AB253" s="485">
        <v>30</v>
      </c>
      <c r="AC253" s="486">
        <v>18580</v>
      </c>
      <c r="AD253" s="486"/>
      <c r="AE253" s="486">
        <v>27</v>
      </c>
      <c r="AF253" s="485"/>
      <c r="AG253" s="486"/>
    </row>
    <row r="254" spans="1:33" s="28" customFormat="1" ht="12.75" customHeight="1">
      <c r="A254" s="71" t="s">
        <v>313</v>
      </c>
      <c r="B254" s="72" t="s">
        <v>320</v>
      </c>
      <c r="C254" s="73"/>
      <c r="D254" s="74">
        <v>176044</v>
      </c>
      <c r="E254" s="74">
        <v>4</v>
      </c>
      <c r="F254" s="483">
        <f t="shared" si="16"/>
        <v>52906</v>
      </c>
      <c r="G254" s="484">
        <f t="shared" si="17"/>
        <v>51043</v>
      </c>
      <c r="H254" s="485">
        <v>39897</v>
      </c>
      <c r="I254" s="486">
        <v>41513</v>
      </c>
      <c r="J254" s="485">
        <v>477</v>
      </c>
      <c r="K254" s="486">
        <v>270</v>
      </c>
      <c r="L254" s="485">
        <v>11749</v>
      </c>
      <c r="M254" s="485"/>
      <c r="N254" s="485"/>
      <c r="O254" s="486">
        <v>8366</v>
      </c>
      <c r="P254" s="486"/>
      <c r="Q254" s="486"/>
      <c r="R254" s="485">
        <v>783</v>
      </c>
      <c r="S254" s="486">
        <v>894</v>
      </c>
      <c r="T254" s="483">
        <f t="shared" si="18"/>
        <v>6695</v>
      </c>
      <c r="U254" s="484">
        <f t="shared" si="19"/>
        <v>5771</v>
      </c>
      <c r="V254" s="485">
        <v>2607</v>
      </c>
      <c r="W254" s="486">
        <v>2636</v>
      </c>
      <c r="X254" s="485">
        <v>96</v>
      </c>
      <c r="Y254" s="486">
        <v>0</v>
      </c>
      <c r="Z254" s="485">
        <v>3938</v>
      </c>
      <c r="AA254" s="485"/>
      <c r="AB254" s="485"/>
      <c r="AC254" s="486">
        <v>3054</v>
      </c>
      <c r="AD254" s="486"/>
      <c r="AE254" s="486"/>
      <c r="AF254" s="485">
        <v>54</v>
      </c>
      <c r="AG254" s="486">
        <v>81</v>
      </c>
    </row>
    <row r="255" spans="1:33">
      <c r="A255" s="117" t="s">
        <v>313</v>
      </c>
      <c r="B255" s="72" t="s">
        <v>321</v>
      </c>
      <c r="C255" s="73" t="s">
        <v>947</v>
      </c>
      <c r="D255" s="74">
        <v>176035</v>
      </c>
      <c r="E255" s="74">
        <v>5</v>
      </c>
      <c r="F255" s="483">
        <f t="shared" si="16"/>
        <v>71874</v>
      </c>
      <c r="G255" s="484">
        <f t="shared" si="17"/>
        <v>70436</v>
      </c>
      <c r="H255" s="485">
        <v>34783</v>
      </c>
      <c r="I255" s="486">
        <v>33297</v>
      </c>
      <c r="J255" s="485">
        <v>107</v>
      </c>
      <c r="K255" s="486">
        <v>168</v>
      </c>
      <c r="L255" s="485">
        <v>36984</v>
      </c>
      <c r="M255" s="485"/>
      <c r="N255" s="485"/>
      <c r="O255" s="486">
        <v>36971</v>
      </c>
      <c r="P255" s="486"/>
      <c r="Q255" s="486"/>
      <c r="R255" s="485"/>
      <c r="S255" s="486"/>
      <c r="T255" s="483">
        <f t="shared" si="18"/>
        <v>4648</v>
      </c>
      <c r="U255" s="484">
        <f t="shared" si="19"/>
        <v>4376</v>
      </c>
      <c r="V255" s="485">
        <v>2502</v>
      </c>
      <c r="W255" s="486">
        <v>2484</v>
      </c>
      <c r="X255" s="485">
        <v>561</v>
      </c>
      <c r="Y255" s="486">
        <v>192</v>
      </c>
      <c r="Z255" s="485">
        <v>1585</v>
      </c>
      <c r="AA255" s="485"/>
      <c r="AB255" s="485"/>
      <c r="AC255" s="486">
        <v>1700</v>
      </c>
      <c r="AD255" s="486"/>
      <c r="AE255" s="486"/>
      <c r="AF255" s="485"/>
      <c r="AG255" s="486"/>
    </row>
    <row r="256" spans="1:33" s="28" customFormat="1" ht="13.5" customHeight="1">
      <c r="A256" s="119" t="s">
        <v>313</v>
      </c>
      <c r="B256" s="76" t="s">
        <v>322</v>
      </c>
      <c r="C256" s="77"/>
      <c r="D256" s="120">
        <v>175786</v>
      </c>
      <c r="E256" s="121">
        <v>8</v>
      </c>
      <c r="F256" s="483">
        <f t="shared" si="16"/>
        <v>290976</v>
      </c>
      <c r="G256" s="484">
        <f t="shared" si="17"/>
        <v>291212</v>
      </c>
      <c r="H256" s="485">
        <v>217813</v>
      </c>
      <c r="I256" s="486">
        <v>208823</v>
      </c>
      <c r="J256" s="485">
        <v>13134</v>
      </c>
      <c r="K256" s="486">
        <v>16248</v>
      </c>
      <c r="L256" s="485">
        <v>60029</v>
      </c>
      <c r="M256" s="485"/>
      <c r="N256" s="485"/>
      <c r="O256" s="486">
        <v>66141</v>
      </c>
      <c r="P256" s="486"/>
      <c r="Q256" s="486"/>
      <c r="R256" s="485"/>
      <c r="S256" s="486"/>
      <c r="T256" s="483">
        <f t="shared" si="18"/>
        <v>0</v>
      </c>
      <c r="U256" s="484">
        <f t="shared" si="19"/>
        <v>0</v>
      </c>
      <c r="V256" s="485"/>
      <c r="W256" s="486"/>
      <c r="X256" s="485"/>
      <c r="Y256" s="486"/>
      <c r="Z256" s="485"/>
      <c r="AA256" s="485"/>
      <c r="AB256" s="485"/>
      <c r="AC256" s="486"/>
      <c r="AD256" s="486"/>
      <c r="AE256" s="486"/>
      <c r="AF256" s="485"/>
      <c r="AG256" s="486"/>
    </row>
    <row r="257" spans="1:33">
      <c r="A257" s="119" t="s">
        <v>313</v>
      </c>
      <c r="B257" s="76" t="s">
        <v>329</v>
      </c>
      <c r="C257" s="80"/>
      <c r="D257" s="120">
        <v>175810</v>
      </c>
      <c r="E257" s="121">
        <v>8</v>
      </c>
      <c r="F257" s="483">
        <f t="shared" si="16"/>
        <v>161853</v>
      </c>
      <c r="G257" s="484">
        <f t="shared" si="17"/>
        <v>159656</v>
      </c>
      <c r="H257" s="485">
        <v>95861</v>
      </c>
      <c r="I257" s="486">
        <v>91344</v>
      </c>
      <c r="J257" s="485">
        <v>6275</v>
      </c>
      <c r="K257" s="486">
        <v>6092</v>
      </c>
      <c r="L257" s="485">
        <v>59717</v>
      </c>
      <c r="M257" s="485"/>
      <c r="N257" s="485"/>
      <c r="O257" s="486">
        <v>62220</v>
      </c>
      <c r="P257" s="486"/>
      <c r="Q257" s="486"/>
      <c r="R257" s="485"/>
      <c r="S257" s="486"/>
      <c r="T257" s="483">
        <f t="shared" si="18"/>
        <v>0</v>
      </c>
      <c r="U257" s="484">
        <f t="shared" si="19"/>
        <v>0</v>
      </c>
      <c r="V257" s="485"/>
      <c r="W257" s="486"/>
      <c r="X257" s="485"/>
      <c r="Y257" s="486"/>
      <c r="Z257" s="485"/>
      <c r="AA257" s="485"/>
      <c r="AB257" s="485"/>
      <c r="AC257" s="486"/>
      <c r="AD257" s="486"/>
      <c r="AE257" s="486"/>
      <c r="AF257" s="485"/>
      <c r="AG257" s="486"/>
    </row>
    <row r="258" spans="1:33">
      <c r="A258" s="119" t="s">
        <v>313</v>
      </c>
      <c r="B258" s="76" t="s">
        <v>323</v>
      </c>
      <c r="C258" s="77" t="s">
        <v>967</v>
      </c>
      <c r="D258" s="120">
        <v>175829</v>
      </c>
      <c r="E258" s="120">
        <v>8</v>
      </c>
      <c r="F258" s="483">
        <f t="shared" si="16"/>
        <v>142164</v>
      </c>
      <c r="G258" s="484">
        <f t="shared" si="17"/>
        <v>139081</v>
      </c>
      <c r="H258" s="485">
        <v>86061</v>
      </c>
      <c r="I258" s="486">
        <v>85041</v>
      </c>
      <c r="J258" s="485">
        <v>4986</v>
      </c>
      <c r="K258" s="486">
        <v>4532</v>
      </c>
      <c r="L258" s="485">
        <v>51117</v>
      </c>
      <c r="M258" s="485"/>
      <c r="N258" s="485"/>
      <c r="O258" s="486">
        <v>49508</v>
      </c>
      <c r="P258" s="486"/>
      <c r="Q258" s="486"/>
      <c r="R258" s="485"/>
      <c r="S258" s="486"/>
      <c r="T258" s="483">
        <f t="shared" si="18"/>
        <v>0</v>
      </c>
      <c r="U258" s="484">
        <f t="shared" si="19"/>
        <v>0</v>
      </c>
      <c r="V258" s="485"/>
      <c r="W258" s="486"/>
      <c r="X258" s="485"/>
      <c r="Y258" s="486"/>
      <c r="Z258" s="485"/>
      <c r="AA258" s="485"/>
      <c r="AB258" s="485"/>
      <c r="AC258" s="486"/>
      <c r="AD258" s="486"/>
      <c r="AE258" s="486"/>
      <c r="AF258" s="485"/>
      <c r="AG258" s="486"/>
    </row>
    <row r="259" spans="1:33">
      <c r="A259" s="119" t="s">
        <v>313</v>
      </c>
      <c r="B259" s="76" t="s">
        <v>324</v>
      </c>
      <c r="C259" s="77"/>
      <c r="D259" s="120">
        <v>176071</v>
      </c>
      <c r="E259" s="78">
        <v>8</v>
      </c>
      <c r="F259" s="483">
        <f t="shared" si="16"/>
        <v>229650</v>
      </c>
      <c r="G259" s="484">
        <f t="shared" si="17"/>
        <v>232689</v>
      </c>
      <c r="H259" s="485">
        <v>154030</v>
      </c>
      <c r="I259" s="486">
        <v>145924</v>
      </c>
      <c r="J259" s="485">
        <v>8513</v>
      </c>
      <c r="K259" s="486">
        <v>19835</v>
      </c>
      <c r="L259" s="485">
        <v>67107</v>
      </c>
      <c r="M259" s="485"/>
      <c r="N259" s="485"/>
      <c r="O259" s="486">
        <v>66930</v>
      </c>
      <c r="P259" s="486"/>
      <c r="Q259" s="486"/>
      <c r="R259" s="485"/>
      <c r="S259" s="486"/>
      <c r="T259" s="483">
        <f t="shared" si="18"/>
        <v>0</v>
      </c>
      <c r="U259" s="484">
        <f t="shared" si="19"/>
        <v>0</v>
      </c>
      <c r="V259" s="485"/>
      <c r="W259" s="486"/>
      <c r="X259" s="485"/>
      <c r="Y259" s="486"/>
      <c r="Z259" s="485"/>
      <c r="AA259" s="485"/>
      <c r="AB259" s="485"/>
      <c r="AC259" s="486"/>
      <c r="AD259" s="486"/>
      <c r="AE259" s="486"/>
      <c r="AF259" s="485"/>
      <c r="AG259" s="486"/>
    </row>
    <row r="260" spans="1:33">
      <c r="A260" s="119" t="s">
        <v>313</v>
      </c>
      <c r="B260" s="76" t="s">
        <v>325</v>
      </c>
      <c r="C260" s="77"/>
      <c r="D260" s="120">
        <v>176178</v>
      </c>
      <c r="E260" s="78">
        <v>8</v>
      </c>
      <c r="F260" s="483">
        <f t="shared" si="16"/>
        <v>195873</v>
      </c>
      <c r="G260" s="484">
        <f t="shared" si="17"/>
        <v>186760</v>
      </c>
      <c r="H260" s="485">
        <v>153888</v>
      </c>
      <c r="I260" s="486">
        <v>141544</v>
      </c>
      <c r="J260" s="485">
        <v>0</v>
      </c>
      <c r="K260" s="486">
        <v>5204</v>
      </c>
      <c r="L260" s="485">
        <v>41985</v>
      </c>
      <c r="M260" s="485"/>
      <c r="N260" s="485"/>
      <c r="O260" s="486">
        <v>40012</v>
      </c>
      <c r="P260" s="486"/>
      <c r="Q260" s="486"/>
      <c r="R260" s="485"/>
      <c r="S260" s="486"/>
      <c r="T260" s="483">
        <f t="shared" si="18"/>
        <v>0</v>
      </c>
      <c r="U260" s="484">
        <f t="shared" si="19"/>
        <v>0</v>
      </c>
      <c r="V260" s="485"/>
      <c r="W260" s="486"/>
      <c r="X260" s="485"/>
      <c r="Y260" s="486"/>
      <c r="Z260" s="485"/>
      <c r="AA260" s="485"/>
      <c r="AB260" s="485"/>
      <c r="AC260" s="486"/>
      <c r="AD260" s="486"/>
      <c r="AE260" s="486"/>
      <c r="AF260" s="485"/>
      <c r="AG260" s="486"/>
    </row>
    <row r="261" spans="1:33">
      <c r="A261" s="119" t="s">
        <v>313</v>
      </c>
      <c r="B261" s="76" t="s">
        <v>326</v>
      </c>
      <c r="C261" s="77"/>
      <c r="D261" s="120">
        <v>175573</v>
      </c>
      <c r="E261" s="121">
        <v>9</v>
      </c>
      <c r="F261" s="483">
        <f t="shared" si="16"/>
        <v>80632</v>
      </c>
      <c r="G261" s="484">
        <f t="shared" si="17"/>
        <v>79307</v>
      </c>
      <c r="H261" s="485">
        <v>49820</v>
      </c>
      <c r="I261" s="486">
        <v>48132</v>
      </c>
      <c r="J261" s="485">
        <v>5330</v>
      </c>
      <c r="K261" s="486">
        <v>4137</v>
      </c>
      <c r="L261" s="485">
        <v>25482</v>
      </c>
      <c r="M261" s="485"/>
      <c r="N261" s="485"/>
      <c r="O261" s="486">
        <v>27038</v>
      </c>
      <c r="P261" s="486"/>
      <c r="Q261" s="486"/>
      <c r="R261" s="485"/>
      <c r="S261" s="486"/>
      <c r="T261" s="483">
        <f t="shared" si="18"/>
        <v>0</v>
      </c>
      <c r="U261" s="484">
        <f t="shared" si="19"/>
        <v>0</v>
      </c>
      <c r="V261" s="485"/>
      <c r="W261" s="486"/>
      <c r="X261" s="485"/>
      <c r="Y261" s="486"/>
      <c r="Z261" s="485"/>
      <c r="AA261" s="485"/>
      <c r="AB261" s="485"/>
      <c r="AC261" s="486"/>
      <c r="AD261" s="486"/>
      <c r="AE261" s="486"/>
      <c r="AF261" s="485"/>
      <c r="AG261" s="486"/>
    </row>
    <row r="262" spans="1:33">
      <c r="A262" s="119" t="s">
        <v>313</v>
      </c>
      <c r="B262" s="76" t="s">
        <v>327</v>
      </c>
      <c r="C262" s="77"/>
      <c r="D262" s="120">
        <v>175643</v>
      </c>
      <c r="E262" s="78">
        <v>9</v>
      </c>
      <c r="F262" s="483">
        <f t="shared" si="16"/>
        <v>68978</v>
      </c>
      <c r="G262" s="484">
        <f t="shared" si="17"/>
        <v>70571</v>
      </c>
      <c r="H262" s="485">
        <v>46624</v>
      </c>
      <c r="I262" s="486">
        <v>44527</v>
      </c>
      <c r="J262" s="485">
        <v>3387</v>
      </c>
      <c r="K262" s="486">
        <v>4672</v>
      </c>
      <c r="L262" s="485">
        <v>18967</v>
      </c>
      <c r="M262" s="485"/>
      <c r="N262" s="485"/>
      <c r="O262" s="486">
        <v>21372</v>
      </c>
      <c r="P262" s="486"/>
      <c r="Q262" s="486"/>
      <c r="R262" s="485"/>
      <c r="S262" s="486"/>
      <c r="T262" s="483">
        <f t="shared" si="18"/>
        <v>0</v>
      </c>
      <c r="U262" s="484">
        <f t="shared" si="19"/>
        <v>0</v>
      </c>
      <c r="V262" s="485"/>
      <c r="W262" s="486"/>
      <c r="X262" s="485"/>
      <c r="Y262" s="486"/>
      <c r="Z262" s="485"/>
      <c r="AA262" s="485"/>
      <c r="AB262" s="485"/>
      <c r="AC262" s="486"/>
      <c r="AD262" s="486"/>
      <c r="AE262" s="486"/>
      <c r="AF262" s="485"/>
      <c r="AG262" s="486"/>
    </row>
    <row r="263" spans="1:33">
      <c r="A263" s="119" t="s">
        <v>313</v>
      </c>
      <c r="B263" s="76" t="s">
        <v>328</v>
      </c>
      <c r="C263" s="77"/>
      <c r="D263" s="120">
        <v>175652</v>
      </c>
      <c r="E263" s="78">
        <v>9</v>
      </c>
      <c r="F263" s="483">
        <f t="shared" si="16"/>
        <v>109962</v>
      </c>
      <c r="G263" s="484">
        <f t="shared" si="17"/>
        <v>105233</v>
      </c>
      <c r="H263" s="485">
        <v>71747</v>
      </c>
      <c r="I263" s="486">
        <v>69637</v>
      </c>
      <c r="J263" s="485">
        <v>2277</v>
      </c>
      <c r="K263" s="486">
        <v>2101</v>
      </c>
      <c r="L263" s="485">
        <v>35938</v>
      </c>
      <c r="M263" s="485"/>
      <c r="N263" s="485"/>
      <c r="O263" s="486">
        <v>33495</v>
      </c>
      <c r="P263" s="486"/>
      <c r="Q263" s="486"/>
      <c r="R263" s="485"/>
      <c r="S263" s="486"/>
      <c r="T263" s="483">
        <f t="shared" si="18"/>
        <v>0</v>
      </c>
      <c r="U263" s="484">
        <f t="shared" si="19"/>
        <v>0</v>
      </c>
      <c r="V263" s="485"/>
      <c r="W263" s="486"/>
      <c r="X263" s="485"/>
      <c r="Y263" s="486"/>
      <c r="Z263" s="485"/>
      <c r="AA263" s="485"/>
      <c r="AB263" s="485"/>
      <c r="AC263" s="486"/>
      <c r="AD263" s="486"/>
      <c r="AE263" s="486"/>
      <c r="AF263" s="485"/>
      <c r="AG263" s="486"/>
    </row>
    <row r="264" spans="1:33">
      <c r="A264" s="119" t="s">
        <v>313</v>
      </c>
      <c r="B264" s="76" t="s">
        <v>330</v>
      </c>
      <c r="C264" s="77"/>
      <c r="D264" s="120">
        <v>175883</v>
      </c>
      <c r="E264" s="78">
        <v>9</v>
      </c>
      <c r="F264" s="483">
        <f t="shared" si="16"/>
        <v>132964</v>
      </c>
      <c r="G264" s="484">
        <f t="shared" si="17"/>
        <v>126908</v>
      </c>
      <c r="H264" s="485">
        <v>104744</v>
      </c>
      <c r="I264" s="486">
        <v>98377</v>
      </c>
      <c r="J264" s="485">
        <v>0</v>
      </c>
      <c r="K264" s="486">
        <v>0</v>
      </c>
      <c r="L264" s="485">
        <v>28220</v>
      </c>
      <c r="M264" s="485"/>
      <c r="N264" s="485"/>
      <c r="O264" s="486">
        <v>28531</v>
      </c>
      <c r="P264" s="486"/>
      <c r="Q264" s="486"/>
      <c r="R264" s="485"/>
      <c r="S264" s="486"/>
      <c r="T264" s="483">
        <f t="shared" si="18"/>
        <v>0</v>
      </c>
      <c r="U264" s="484">
        <f t="shared" si="19"/>
        <v>0</v>
      </c>
      <c r="V264" s="485"/>
      <c r="W264" s="486"/>
      <c r="X264" s="485"/>
      <c r="Y264" s="486"/>
      <c r="Z264" s="485"/>
      <c r="AA264" s="485"/>
      <c r="AB264" s="485"/>
      <c r="AC264" s="486"/>
      <c r="AD264" s="486"/>
      <c r="AE264" s="486"/>
      <c r="AF264" s="485"/>
      <c r="AG264" s="486"/>
    </row>
    <row r="265" spans="1:33">
      <c r="A265" s="119" t="s">
        <v>313</v>
      </c>
      <c r="B265" s="76" t="s">
        <v>331</v>
      </c>
      <c r="C265" s="77"/>
      <c r="D265" s="120">
        <v>175935</v>
      </c>
      <c r="E265" s="78">
        <v>9</v>
      </c>
      <c r="F265" s="483">
        <f t="shared" si="16"/>
        <v>92654</v>
      </c>
      <c r="G265" s="484">
        <f t="shared" si="17"/>
        <v>88357</v>
      </c>
      <c r="H265" s="485">
        <v>70070</v>
      </c>
      <c r="I265" s="486">
        <v>67885</v>
      </c>
      <c r="J265" s="485">
        <v>684</v>
      </c>
      <c r="K265" s="486">
        <v>1230</v>
      </c>
      <c r="L265" s="485">
        <v>21900</v>
      </c>
      <c r="M265" s="485"/>
      <c r="N265" s="485"/>
      <c r="O265" s="486">
        <v>19242</v>
      </c>
      <c r="P265" s="486"/>
      <c r="Q265" s="486"/>
      <c r="R265" s="485"/>
      <c r="S265" s="486"/>
      <c r="T265" s="483">
        <f t="shared" si="18"/>
        <v>0</v>
      </c>
      <c r="U265" s="484">
        <f t="shared" si="19"/>
        <v>0</v>
      </c>
      <c r="V265" s="485"/>
      <c r="W265" s="486"/>
      <c r="X265" s="485"/>
      <c r="Y265" s="486"/>
      <c r="Z265" s="485"/>
      <c r="AA265" s="485"/>
      <c r="AB265" s="485"/>
      <c r="AC265" s="486"/>
      <c r="AD265" s="486"/>
      <c r="AE265" s="486"/>
      <c r="AF265" s="485"/>
      <c r="AG265" s="486"/>
    </row>
    <row r="266" spans="1:33">
      <c r="A266" s="119" t="s">
        <v>313</v>
      </c>
      <c r="B266" s="76" t="s">
        <v>332</v>
      </c>
      <c r="C266" s="77"/>
      <c r="D266" s="120">
        <v>176008</v>
      </c>
      <c r="E266" s="78">
        <v>9</v>
      </c>
      <c r="F266" s="483">
        <f t="shared" si="16"/>
        <v>63672</v>
      </c>
      <c r="G266" s="484">
        <f t="shared" si="17"/>
        <v>63837</v>
      </c>
      <c r="H266" s="485">
        <v>47638</v>
      </c>
      <c r="I266" s="486">
        <v>46100</v>
      </c>
      <c r="J266" s="485">
        <v>6204</v>
      </c>
      <c r="K266" s="486">
        <v>5814</v>
      </c>
      <c r="L266" s="485">
        <v>9830</v>
      </c>
      <c r="M266" s="485"/>
      <c r="N266" s="485"/>
      <c r="O266" s="486">
        <v>11923</v>
      </c>
      <c r="P266" s="486"/>
      <c r="Q266" s="486"/>
      <c r="R266" s="485"/>
      <c r="S266" s="486"/>
      <c r="T266" s="483">
        <f t="shared" si="18"/>
        <v>0</v>
      </c>
      <c r="U266" s="484">
        <f t="shared" si="19"/>
        <v>0</v>
      </c>
      <c r="V266" s="485"/>
      <c r="W266" s="486"/>
      <c r="X266" s="485"/>
      <c r="Y266" s="486"/>
      <c r="Z266" s="485"/>
      <c r="AA266" s="485"/>
      <c r="AB266" s="485"/>
      <c r="AC266" s="486"/>
      <c r="AD266" s="486"/>
      <c r="AE266" s="486"/>
      <c r="AF266" s="485"/>
      <c r="AG266" s="486"/>
    </row>
    <row r="267" spans="1:33">
      <c r="A267" s="119" t="s">
        <v>313</v>
      </c>
      <c r="B267" s="76" t="s">
        <v>333</v>
      </c>
      <c r="C267" s="77"/>
      <c r="D267" s="120">
        <v>176169</v>
      </c>
      <c r="E267" s="78">
        <v>9</v>
      </c>
      <c r="F267" s="483">
        <f t="shared" si="16"/>
        <v>91120</v>
      </c>
      <c r="G267" s="484">
        <f t="shared" si="17"/>
        <v>91958</v>
      </c>
      <c r="H267" s="485">
        <v>69040</v>
      </c>
      <c r="I267" s="486">
        <v>65657</v>
      </c>
      <c r="J267" s="485">
        <v>0</v>
      </c>
      <c r="K267" s="486">
        <v>0</v>
      </c>
      <c r="L267" s="485">
        <v>22080</v>
      </c>
      <c r="M267" s="485"/>
      <c r="N267" s="485"/>
      <c r="O267" s="486">
        <v>26301</v>
      </c>
      <c r="P267" s="486"/>
      <c r="Q267" s="486"/>
      <c r="R267" s="485"/>
      <c r="S267" s="486"/>
      <c r="T267" s="483">
        <f t="shared" si="18"/>
        <v>0</v>
      </c>
      <c r="U267" s="484">
        <f t="shared" si="19"/>
        <v>0</v>
      </c>
      <c r="V267" s="485"/>
      <c r="W267" s="486"/>
      <c r="X267" s="485"/>
      <c r="Y267" s="486"/>
      <c r="Z267" s="485"/>
      <c r="AA267" s="485"/>
      <c r="AB267" s="485"/>
      <c r="AC267" s="486"/>
      <c r="AD267" s="486"/>
      <c r="AE267" s="486"/>
      <c r="AF267" s="485"/>
      <c r="AG267" s="486"/>
    </row>
    <row r="268" spans="1:33">
      <c r="A268" s="119" t="s">
        <v>313</v>
      </c>
      <c r="B268" s="76" t="s">
        <v>334</v>
      </c>
      <c r="C268" s="77"/>
      <c r="D268" s="120">
        <v>176239</v>
      </c>
      <c r="E268" s="121">
        <v>9</v>
      </c>
      <c r="F268" s="483">
        <f t="shared" si="16"/>
        <v>120448</v>
      </c>
      <c r="G268" s="484">
        <f t="shared" si="17"/>
        <v>126640</v>
      </c>
      <c r="H268" s="485">
        <v>91945</v>
      </c>
      <c r="I268" s="486">
        <v>93459</v>
      </c>
      <c r="J268" s="485">
        <v>3613</v>
      </c>
      <c r="K268" s="486">
        <v>3402</v>
      </c>
      <c r="L268" s="485">
        <v>24890</v>
      </c>
      <c r="M268" s="485"/>
      <c r="N268" s="485"/>
      <c r="O268" s="486">
        <v>29779</v>
      </c>
      <c r="P268" s="486"/>
      <c r="Q268" s="486"/>
      <c r="R268" s="485"/>
      <c r="S268" s="486"/>
      <c r="T268" s="483">
        <f t="shared" si="18"/>
        <v>0</v>
      </c>
      <c r="U268" s="484">
        <f t="shared" si="19"/>
        <v>0</v>
      </c>
      <c r="V268" s="485"/>
      <c r="W268" s="486"/>
      <c r="X268" s="485"/>
      <c r="Y268" s="486"/>
      <c r="Z268" s="485"/>
      <c r="AA268" s="485"/>
      <c r="AB268" s="485"/>
      <c r="AC268" s="486"/>
      <c r="AD268" s="486"/>
      <c r="AE268" s="486"/>
      <c r="AF268" s="485"/>
      <c r="AG268" s="486"/>
    </row>
    <row r="269" spans="1:33">
      <c r="A269" s="119" t="s">
        <v>313</v>
      </c>
      <c r="B269" s="76" t="s">
        <v>335</v>
      </c>
      <c r="C269" s="77"/>
      <c r="D269" s="120">
        <v>175519</v>
      </c>
      <c r="E269" s="78">
        <v>10</v>
      </c>
      <c r="F269" s="483">
        <f t="shared" si="16"/>
        <v>51011</v>
      </c>
      <c r="G269" s="484">
        <f t="shared" si="17"/>
        <v>49683</v>
      </c>
      <c r="H269" s="485">
        <v>42002</v>
      </c>
      <c r="I269" s="486">
        <v>38426</v>
      </c>
      <c r="J269" s="485">
        <v>888</v>
      </c>
      <c r="K269" s="486">
        <v>380</v>
      </c>
      <c r="L269" s="485">
        <v>8121</v>
      </c>
      <c r="M269" s="485"/>
      <c r="N269" s="485"/>
      <c r="O269" s="486">
        <v>10877</v>
      </c>
      <c r="P269" s="486"/>
      <c r="Q269" s="486"/>
      <c r="R269" s="485"/>
      <c r="S269" s="486"/>
      <c r="T269" s="483">
        <f t="shared" si="18"/>
        <v>0</v>
      </c>
      <c r="U269" s="484">
        <f t="shared" si="19"/>
        <v>0</v>
      </c>
      <c r="V269" s="485"/>
      <c r="W269" s="486"/>
      <c r="X269" s="485"/>
      <c r="Y269" s="486"/>
      <c r="Z269" s="485"/>
      <c r="AA269" s="485"/>
      <c r="AB269" s="485"/>
      <c r="AC269" s="486"/>
      <c r="AD269" s="486"/>
      <c r="AE269" s="486"/>
      <c r="AF269" s="485"/>
      <c r="AG269" s="486"/>
    </row>
    <row r="270" spans="1:33">
      <c r="A270" s="119" t="s">
        <v>313</v>
      </c>
      <c r="B270" s="76" t="s">
        <v>336</v>
      </c>
      <c r="C270" s="77"/>
      <c r="D270" s="120">
        <v>176354</v>
      </c>
      <c r="E270" s="78">
        <v>10</v>
      </c>
      <c r="F270" s="483">
        <f t="shared" si="16"/>
        <v>54536</v>
      </c>
      <c r="G270" s="484">
        <f t="shared" si="17"/>
        <v>55751</v>
      </c>
      <c r="H270" s="485">
        <v>42986</v>
      </c>
      <c r="I270" s="486">
        <v>40822</v>
      </c>
      <c r="J270" s="485">
        <v>0</v>
      </c>
      <c r="K270" s="486">
        <v>0</v>
      </c>
      <c r="L270" s="485">
        <v>11550</v>
      </c>
      <c r="M270" s="485"/>
      <c r="N270" s="485"/>
      <c r="O270" s="486">
        <v>14929</v>
      </c>
      <c r="P270" s="486"/>
      <c r="Q270" s="486"/>
      <c r="R270" s="485"/>
      <c r="S270" s="486"/>
      <c r="T270" s="483">
        <f t="shared" si="18"/>
        <v>0</v>
      </c>
      <c r="U270" s="484">
        <f t="shared" si="19"/>
        <v>0</v>
      </c>
      <c r="V270" s="485"/>
      <c r="W270" s="486"/>
      <c r="X270" s="485"/>
      <c r="Y270" s="486"/>
      <c r="Z270" s="485"/>
      <c r="AA270" s="485"/>
      <c r="AB270" s="485"/>
      <c r="AC270" s="486"/>
      <c r="AD270" s="486"/>
      <c r="AE270" s="486"/>
      <c r="AF270" s="485"/>
      <c r="AG270" s="486"/>
    </row>
    <row r="271" spans="1:33" s="28" customFormat="1" ht="13.9" customHeight="1">
      <c r="A271" s="122" t="s">
        <v>337</v>
      </c>
      <c r="B271" s="123" t="s">
        <v>338</v>
      </c>
      <c r="C271" s="124"/>
      <c r="D271" s="125">
        <v>199193</v>
      </c>
      <c r="E271" s="125">
        <v>1</v>
      </c>
      <c r="F271" s="483">
        <f t="shared" si="16"/>
        <v>681219</v>
      </c>
      <c r="G271" s="484">
        <f t="shared" si="17"/>
        <v>710963</v>
      </c>
      <c r="H271" s="485">
        <v>573441</v>
      </c>
      <c r="I271" s="486">
        <v>588781</v>
      </c>
      <c r="J271" s="485">
        <v>2935</v>
      </c>
      <c r="K271" s="486">
        <v>8711</v>
      </c>
      <c r="L271" s="485">
        <v>101593</v>
      </c>
      <c r="M271" s="485">
        <v>0</v>
      </c>
      <c r="N271" s="485">
        <v>3250</v>
      </c>
      <c r="O271" s="486">
        <v>113471</v>
      </c>
      <c r="P271" s="486">
        <v>0</v>
      </c>
      <c r="Q271" s="486">
        <v>0</v>
      </c>
      <c r="R271" s="485"/>
      <c r="S271" s="486"/>
      <c r="T271" s="483">
        <f t="shared" si="18"/>
        <v>157466</v>
      </c>
      <c r="U271" s="484">
        <f t="shared" si="19"/>
        <v>174078</v>
      </c>
      <c r="V271" s="485">
        <v>118667</v>
      </c>
      <c r="W271" s="486">
        <v>135087</v>
      </c>
      <c r="X271" s="485">
        <v>5868</v>
      </c>
      <c r="Y271" s="486">
        <v>5255</v>
      </c>
      <c r="Z271" s="485">
        <v>30091</v>
      </c>
      <c r="AA271" s="485">
        <v>0</v>
      </c>
      <c r="AB271" s="485">
        <v>2840</v>
      </c>
      <c r="AC271" s="486">
        <v>33736</v>
      </c>
      <c r="AD271" s="486">
        <v>0</v>
      </c>
      <c r="AE271" s="486">
        <v>0</v>
      </c>
      <c r="AF271" s="485"/>
      <c r="AG271" s="486"/>
    </row>
    <row r="272" spans="1:33">
      <c r="A272" s="122" t="s">
        <v>337</v>
      </c>
      <c r="B272" s="123" t="s">
        <v>339</v>
      </c>
      <c r="C272" s="124"/>
      <c r="D272" s="125">
        <v>199120</v>
      </c>
      <c r="E272" s="125">
        <v>1</v>
      </c>
      <c r="F272" s="483">
        <f t="shared" si="16"/>
        <v>521127</v>
      </c>
      <c r="G272" s="484">
        <f t="shared" si="17"/>
        <v>542556</v>
      </c>
      <c r="H272" s="485">
        <v>503977</v>
      </c>
      <c r="I272" s="486">
        <v>517394</v>
      </c>
      <c r="J272" s="485">
        <v>0</v>
      </c>
      <c r="K272" s="486">
        <v>4931</v>
      </c>
      <c r="L272" s="485">
        <v>17123</v>
      </c>
      <c r="M272" s="485">
        <v>27</v>
      </c>
      <c r="N272" s="485">
        <v>0</v>
      </c>
      <c r="O272" s="486">
        <v>20231</v>
      </c>
      <c r="P272" s="486">
        <v>0</v>
      </c>
      <c r="Q272" s="486">
        <v>0</v>
      </c>
      <c r="R272" s="485"/>
      <c r="S272" s="486"/>
      <c r="T272" s="483">
        <f t="shared" si="18"/>
        <v>177975</v>
      </c>
      <c r="U272" s="484">
        <f t="shared" si="19"/>
        <v>203046</v>
      </c>
      <c r="V272" s="485">
        <v>150369</v>
      </c>
      <c r="W272" s="486">
        <v>174497</v>
      </c>
      <c r="X272" s="485">
        <v>2603</v>
      </c>
      <c r="Y272" s="486">
        <v>1771</v>
      </c>
      <c r="Z272" s="485">
        <v>24930</v>
      </c>
      <c r="AA272" s="485">
        <v>73</v>
      </c>
      <c r="AB272" s="485">
        <v>0</v>
      </c>
      <c r="AC272" s="486">
        <v>26697</v>
      </c>
      <c r="AD272" s="486">
        <v>81</v>
      </c>
      <c r="AE272" s="486">
        <v>0</v>
      </c>
      <c r="AF272" s="485"/>
      <c r="AG272" s="486"/>
    </row>
    <row r="273" spans="1:33">
      <c r="A273" s="122" t="s">
        <v>337</v>
      </c>
      <c r="B273" s="123" t="s">
        <v>340</v>
      </c>
      <c r="C273" s="126"/>
      <c r="D273" s="125">
        <v>199139</v>
      </c>
      <c r="E273" s="125">
        <v>1</v>
      </c>
      <c r="F273" s="483">
        <f t="shared" si="16"/>
        <v>670251</v>
      </c>
      <c r="G273" s="484">
        <f t="shared" si="17"/>
        <v>678454</v>
      </c>
      <c r="H273" s="485">
        <v>582066</v>
      </c>
      <c r="I273" s="486">
        <v>583871</v>
      </c>
      <c r="J273" s="485">
        <v>0</v>
      </c>
      <c r="K273" s="486">
        <v>0</v>
      </c>
      <c r="L273" s="485">
        <v>87968</v>
      </c>
      <c r="M273" s="485">
        <v>217</v>
      </c>
      <c r="N273" s="485">
        <v>0</v>
      </c>
      <c r="O273" s="486">
        <v>94485</v>
      </c>
      <c r="P273" s="486">
        <v>98</v>
      </c>
      <c r="Q273" s="486">
        <v>0</v>
      </c>
      <c r="R273" s="485"/>
      <c r="S273" s="486"/>
      <c r="T273" s="483">
        <f t="shared" si="18"/>
        <v>88093</v>
      </c>
      <c r="U273" s="484">
        <f t="shared" si="19"/>
        <v>86480</v>
      </c>
      <c r="V273" s="485">
        <v>70777</v>
      </c>
      <c r="W273" s="486">
        <v>68247</v>
      </c>
      <c r="X273" s="485">
        <v>0</v>
      </c>
      <c r="Y273" s="486">
        <v>0</v>
      </c>
      <c r="Z273" s="485">
        <v>17271</v>
      </c>
      <c r="AA273" s="485">
        <v>45</v>
      </c>
      <c r="AB273" s="485">
        <v>0</v>
      </c>
      <c r="AC273" s="486">
        <v>18215</v>
      </c>
      <c r="AD273" s="486">
        <v>18</v>
      </c>
      <c r="AE273" s="486">
        <v>0</v>
      </c>
      <c r="AF273" s="485"/>
      <c r="AG273" s="486"/>
    </row>
    <row r="274" spans="1:33">
      <c r="A274" s="122" t="s">
        <v>337</v>
      </c>
      <c r="B274" s="123" t="s">
        <v>341</v>
      </c>
      <c r="C274" s="124"/>
      <c r="D274" s="125">
        <v>199148</v>
      </c>
      <c r="E274" s="125">
        <v>1</v>
      </c>
      <c r="F274" s="483">
        <f t="shared" si="16"/>
        <v>453649</v>
      </c>
      <c r="G274" s="484">
        <f t="shared" si="17"/>
        <v>465845</v>
      </c>
      <c r="H274" s="485">
        <v>350829</v>
      </c>
      <c r="I274" s="486">
        <v>343758</v>
      </c>
      <c r="J274" s="485">
        <v>0</v>
      </c>
      <c r="K274" s="486">
        <v>8276</v>
      </c>
      <c r="L274" s="485">
        <v>102820</v>
      </c>
      <c r="M274" s="485">
        <v>0</v>
      </c>
      <c r="N274" s="485">
        <v>0</v>
      </c>
      <c r="O274" s="486">
        <v>113739</v>
      </c>
      <c r="P274" s="486">
        <v>0</v>
      </c>
      <c r="Q274" s="486">
        <v>72</v>
      </c>
      <c r="R274" s="485"/>
      <c r="S274" s="486"/>
      <c r="T274" s="483">
        <f t="shared" si="18"/>
        <v>59391</v>
      </c>
      <c r="U274" s="484">
        <f t="shared" si="19"/>
        <v>60459</v>
      </c>
      <c r="V274" s="485">
        <v>42911</v>
      </c>
      <c r="W274" s="486">
        <v>38983</v>
      </c>
      <c r="X274" s="485">
        <v>15</v>
      </c>
      <c r="Y274" s="486">
        <v>2845</v>
      </c>
      <c r="Z274" s="485">
        <v>16465</v>
      </c>
      <c r="AA274" s="485">
        <v>0</v>
      </c>
      <c r="AB274" s="485">
        <v>0</v>
      </c>
      <c r="AC274" s="486">
        <v>18604</v>
      </c>
      <c r="AD274" s="486">
        <v>27</v>
      </c>
      <c r="AE274" s="486">
        <v>0</v>
      </c>
      <c r="AF274" s="485"/>
      <c r="AG274" s="486"/>
    </row>
    <row r="275" spans="1:33">
      <c r="A275" s="122" t="s">
        <v>337</v>
      </c>
      <c r="B275" s="123" t="s">
        <v>342</v>
      </c>
      <c r="C275" s="126"/>
      <c r="D275" s="125">
        <v>198464</v>
      </c>
      <c r="E275" s="125">
        <v>2</v>
      </c>
      <c r="F275" s="483">
        <f t="shared" si="16"/>
        <v>636129</v>
      </c>
      <c r="G275" s="484">
        <f t="shared" si="17"/>
        <v>654760</v>
      </c>
      <c r="H275" s="485">
        <v>506194</v>
      </c>
      <c r="I275" s="486">
        <v>509594</v>
      </c>
      <c r="J275" s="485">
        <v>2446</v>
      </c>
      <c r="K275" s="486">
        <v>4632</v>
      </c>
      <c r="L275" s="485">
        <v>127381</v>
      </c>
      <c r="M275" s="485">
        <v>108</v>
      </c>
      <c r="N275" s="485">
        <v>0</v>
      </c>
      <c r="O275" s="486">
        <v>140345</v>
      </c>
      <c r="P275" s="486">
        <v>189</v>
      </c>
      <c r="Q275" s="486">
        <v>0</v>
      </c>
      <c r="R275" s="485"/>
      <c r="S275" s="486"/>
      <c r="T275" s="483">
        <f t="shared" si="18"/>
        <v>83269</v>
      </c>
      <c r="U275" s="484">
        <f t="shared" si="19"/>
        <v>90063</v>
      </c>
      <c r="V275" s="485">
        <v>34419</v>
      </c>
      <c r="W275" s="486">
        <v>33630</v>
      </c>
      <c r="X275" s="485">
        <v>3856</v>
      </c>
      <c r="Y275" s="486">
        <v>1424</v>
      </c>
      <c r="Z275" s="485">
        <v>44867</v>
      </c>
      <c r="AA275" s="485">
        <v>127</v>
      </c>
      <c r="AB275" s="485">
        <v>0</v>
      </c>
      <c r="AC275" s="486">
        <v>55003</v>
      </c>
      <c r="AD275" s="486">
        <v>6</v>
      </c>
      <c r="AE275" s="486">
        <v>0</v>
      </c>
      <c r="AF275" s="485"/>
      <c r="AG275" s="486"/>
    </row>
    <row r="276" spans="1:33">
      <c r="A276" s="122" t="s">
        <v>337</v>
      </c>
      <c r="B276" s="123" t="s">
        <v>343</v>
      </c>
      <c r="C276" s="124"/>
      <c r="D276" s="125">
        <v>197869</v>
      </c>
      <c r="E276" s="125">
        <v>3</v>
      </c>
      <c r="F276" s="483">
        <f t="shared" ref="F276:F284" si="20">SUM(H276,J276,L276,M276,N276,R276)</f>
        <v>511381</v>
      </c>
      <c r="G276" s="484">
        <f t="shared" ref="G276:G284" si="21">SUM(I276,K276,O276,P276,Q276,S276)</f>
        <v>521514</v>
      </c>
      <c r="H276" s="485">
        <v>466535</v>
      </c>
      <c r="I276" s="486">
        <v>469391</v>
      </c>
      <c r="J276" s="485">
        <v>3071</v>
      </c>
      <c r="K276" s="486">
        <v>2717</v>
      </c>
      <c r="L276" s="485">
        <v>41775</v>
      </c>
      <c r="M276" s="485">
        <v>0</v>
      </c>
      <c r="N276" s="485">
        <v>0</v>
      </c>
      <c r="O276" s="486">
        <v>49406</v>
      </c>
      <c r="P276" s="486">
        <v>0</v>
      </c>
      <c r="Q276" s="486">
        <v>0</v>
      </c>
      <c r="R276" s="485"/>
      <c r="S276" s="486"/>
      <c r="T276" s="483">
        <f t="shared" ref="T276:T284" si="22">SUM(V276,X276,Z276,AA276,AB276,AF276)</f>
        <v>34048</v>
      </c>
      <c r="U276" s="484">
        <f t="shared" ref="U276:U284" si="23">SUM(W276,Y276,AC276,AD276,AE276,AG276)</f>
        <v>33844</v>
      </c>
      <c r="V276" s="485">
        <v>23709</v>
      </c>
      <c r="W276" s="486">
        <v>22430</v>
      </c>
      <c r="X276" s="485">
        <v>660</v>
      </c>
      <c r="Y276" s="486">
        <v>847</v>
      </c>
      <c r="Z276" s="485">
        <v>9679</v>
      </c>
      <c r="AA276" s="485">
        <v>0</v>
      </c>
      <c r="AB276" s="485">
        <v>0</v>
      </c>
      <c r="AC276" s="486">
        <v>10567</v>
      </c>
      <c r="AD276" s="486">
        <v>0</v>
      </c>
      <c r="AE276" s="486">
        <v>0</v>
      </c>
      <c r="AF276" s="485"/>
      <c r="AG276" s="486"/>
    </row>
    <row r="277" spans="1:33">
      <c r="A277" s="122" t="s">
        <v>337</v>
      </c>
      <c r="B277" s="123" t="s">
        <v>344</v>
      </c>
      <c r="C277" s="124"/>
      <c r="D277" s="125">
        <v>199102</v>
      </c>
      <c r="E277" s="125">
        <v>3</v>
      </c>
      <c r="F277" s="483">
        <f t="shared" si="20"/>
        <v>285632</v>
      </c>
      <c r="G277" s="484">
        <f t="shared" si="21"/>
        <v>299251</v>
      </c>
      <c r="H277" s="485">
        <v>247825</v>
      </c>
      <c r="I277" s="486">
        <v>256702</v>
      </c>
      <c r="J277" s="485">
        <v>552</v>
      </c>
      <c r="K277" s="486">
        <v>474</v>
      </c>
      <c r="L277" s="485">
        <v>37255</v>
      </c>
      <c r="M277" s="485">
        <v>0</v>
      </c>
      <c r="N277" s="485">
        <v>0</v>
      </c>
      <c r="O277" s="486">
        <v>42075</v>
      </c>
      <c r="P277" s="486">
        <v>0</v>
      </c>
      <c r="Q277" s="486">
        <v>0</v>
      </c>
      <c r="R277" s="485"/>
      <c r="S277" s="486"/>
      <c r="T277" s="483">
        <f t="shared" si="22"/>
        <v>25598</v>
      </c>
      <c r="U277" s="484">
        <f t="shared" si="23"/>
        <v>25362</v>
      </c>
      <c r="V277" s="485">
        <v>18860</v>
      </c>
      <c r="W277" s="486">
        <v>17462</v>
      </c>
      <c r="X277" s="485">
        <v>64</v>
      </c>
      <c r="Y277" s="486">
        <v>718</v>
      </c>
      <c r="Z277" s="485">
        <v>6617</v>
      </c>
      <c r="AA277" s="485">
        <v>57</v>
      </c>
      <c r="AB277" s="485">
        <v>0</v>
      </c>
      <c r="AC277" s="486">
        <v>7182</v>
      </c>
      <c r="AD277" s="486">
        <v>0</v>
      </c>
      <c r="AE277" s="486">
        <v>0</v>
      </c>
      <c r="AF277" s="485"/>
      <c r="AG277" s="486"/>
    </row>
    <row r="278" spans="1:33">
      <c r="A278" s="122" t="s">
        <v>337</v>
      </c>
      <c r="B278" s="123" t="s">
        <v>345</v>
      </c>
      <c r="C278" s="124"/>
      <c r="D278" s="125">
        <v>199157</v>
      </c>
      <c r="E278" s="125">
        <v>3</v>
      </c>
      <c r="F278" s="483">
        <f t="shared" si="20"/>
        <v>181104</v>
      </c>
      <c r="G278" s="484">
        <f t="shared" si="21"/>
        <v>184226</v>
      </c>
      <c r="H278" s="485">
        <v>144699</v>
      </c>
      <c r="I278" s="486">
        <v>143625</v>
      </c>
      <c r="J278" s="485">
        <v>227</v>
      </c>
      <c r="K278" s="486">
        <v>266</v>
      </c>
      <c r="L278" s="485">
        <v>36178</v>
      </c>
      <c r="M278" s="485">
        <v>0</v>
      </c>
      <c r="N278" s="485">
        <v>0</v>
      </c>
      <c r="O278" s="486">
        <v>40335</v>
      </c>
      <c r="P278" s="486">
        <v>0</v>
      </c>
      <c r="Q278" s="486">
        <v>0</v>
      </c>
      <c r="R278" s="485"/>
      <c r="S278" s="486"/>
      <c r="T278" s="483">
        <f t="shared" si="22"/>
        <v>38048</v>
      </c>
      <c r="U278" s="484">
        <f t="shared" si="23"/>
        <v>36971</v>
      </c>
      <c r="V278" s="485">
        <v>28596</v>
      </c>
      <c r="W278" s="486">
        <v>26753</v>
      </c>
      <c r="X278" s="485">
        <v>4</v>
      </c>
      <c r="Y278" s="486">
        <v>9</v>
      </c>
      <c r="Z278" s="485">
        <v>9448</v>
      </c>
      <c r="AA278" s="485">
        <v>0</v>
      </c>
      <c r="AB278" s="485">
        <v>0</v>
      </c>
      <c r="AC278" s="486">
        <v>10209</v>
      </c>
      <c r="AD278" s="486">
        <v>0</v>
      </c>
      <c r="AE278" s="486">
        <v>0</v>
      </c>
      <c r="AF278" s="485"/>
      <c r="AG278" s="486"/>
    </row>
    <row r="279" spans="1:33">
      <c r="A279" s="122" t="s">
        <v>337</v>
      </c>
      <c r="B279" s="123" t="s">
        <v>346</v>
      </c>
      <c r="C279" s="124"/>
      <c r="D279" s="125">
        <v>199218</v>
      </c>
      <c r="E279" s="125">
        <v>3</v>
      </c>
      <c r="F279" s="483">
        <f t="shared" si="20"/>
        <v>415399</v>
      </c>
      <c r="G279" s="484">
        <f t="shared" si="21"/>
        <v>411212</v>
      </c>
      <c r="H279" s="485">
        <v>316373</v>
      </c>
      <c r="I279" s="486">
        <v>302455</v>
      </c>
      <c r="J279" s="485">
        <v>5475</v>
      </c>
      <c r="K279" s="486">
        <v>4323</v>
      </c>
      <c r="L279" s="485">
        <v>93435</v>
      </c>
      <c r="M279" s="485">
        <v>116</v>
      </c>
      <c r="N279" s="485">
        <v>0</v>
      </c>
      <c r="O279" s="486">
        <v>104239</v>
      </c>
      <c r="P279" s="486">
        <v>195</v>
      </c>
      <c r="Q279" s="486">
        <v>0</v>
      </c>
      <c r="R279" s="485"/>
      <c r="S279" s="486"/>
      <c r="T279" s="483">
        <f t="shared" si="22"/>
        <v>31197</v>
      </c>
      <c r="U279" s="484">
        <f t="shared" si="23"/>
        <v>36035</v>
      </c>
      <c r="V279" s="485">
        <v>13917</v>
      </c>
      <c r="W279" s="486">
        <v>15519</v>
      </c>
      <c r="X279" s="485">
        <v>1281</v>
      </c>
      <c r="Y279" s="486">
        <v>504</v>
      </c>
      <c r="Z279" s="485">
        <v>15900</v>
      </c>
      <c r="AA279" s="485">
        <v>99</v>
      </c>
      <c r="AB279" s="485">
        <v>0</v>
      </c>
      <c r="AC279" s="486">
        <v>19976</v>
      </c>
      <c r="AD279" s="486">
        <v>36</v>
      </c>
      <c r="AE279" s="486">
        <v>0</v>
      </c>
      <c r="AF279" s="485"/>
      <c r="AG279" s="486"/>
    </row>
    <row r="280" spans="1:33">
      <c r="A280" s="122" t="s">
        <v>337</v>
      </c>
      <c r="B280" s="123" t="s">
        <v>347</v>
      </c>
      <c r="C280" s="124"/>
      <c r="D280" s="125">
        <v>200004</v>
      </c>
      <c r="E280" s="125">
        <v>3</v>
      </c>
      <c r="F280" s="483">
        <f t="shared" si="20"/>
        <v>260240</v>
      </c>
      <c r="G280" s="484">
        <f t="shared" si="21"/>
        <v>273040</v>
      </c>
      <c r="H280" s="485">
        <v>217013</v>
      </c>
      <c r="I280" s="486">
        <v>224300</v>
      </c>
      <c r="J280" s="485">
        <v>4093</v>
      </c>
      <c r="K280" s="486">
        <v>3285</v>
      </c>
      <c r="L280" s="485">
        <v>39062</v>
      </c>
      <c r="M280" s="485">
        <v>72</v>
      </c>
      <c r="N280" s="485">
        <v>0</v>
      </c>
      <c r="O280" s="486">
        <v>45443</v>
      </c>
      <c r="P280" s="486">
        <v>12</v>
      </c>
      <c r="Q280" s="486">
        <v>0</v>
      </c>
      <c r="R280" s="485"/>
      <c r="S280" s="486"/>
      <c r="T280" s="483">
        <f t="shared" si="22"/>
        <v>31376</v>
      </c>
      <c r="U280" s="484">
        <f t="shared" si="23"/>
        <v>31370</v>
      </c>
      <c r="V280" s="485">
        <v>10187</v>
      </c>
      <c r="W280" s="486">
        <v>10282</v>
      </c>
      <c r="X280" s="485">
        <v>7462</v>
      </c>
      <c r="Y280" s="486">
        <v>7318</v>
      </c>
      <c r="Z280" s="485">
        <v>13727</v>
      </c>
      <c r="AA280" s="485">
        <v>0</v>
      </c>
      <c r="AB280" s="485">
        <v>0</v>
      </c>
      <c r="AC280" s="486">
        <v>13770</v>
      </c>
      <c r="AD280" s="486">
        <v>0</v>
      </c>
      <c r="AE280" s="486">
        <v>0</v>
      </c>
      <c r="AF280" s="485"/>
      <c r="AG280" s="486"/>
    </row>
    <row r="281" spans="1:33">
      <c r="A281" s="122" t="s">
        <v>337</v>
      </c>
      <c r="B281" s="123" t="s">
        <v>348</v>
      </c>
      <c r="C281" s="124"/>
      <c r="D281" s="125">
        <v>198543</v>
      </c>
      <c r="E281" s="125">
        <v>4</v>
      </c>
      <c r="F281" s="483">
        <f t="shared" si="20"/>
        <v>142028</v>
      </c>
      <c r="G281" s="484">
        <f t="shared" si="21"/>
        <v>145496</v>
      </c>
      <c r="H281" s="485">
        <v>93800</v>
      </c>
      <c r="I281" s="486">
        <v>88239</v>
      </c>
      <c r="J281" s="485">
        <v>944</v>
      </c>
      <c r="K281" s="486">
        <v>896</v>
      </c>
      <c r="L281" s="485">
        <v>47284</v>
      </c>
      <c r="M281" s="485">
        <v>0</v>
      </c>
      <c r="N281" s="485">
        <v>0</v>
      </c>
      <c r="O281" s="486">
        <v>56361</v>
      </c>
      <c r="P281" s="486">
        <v>0</v>
      </c>
      <c r="Q281" s="486">
        <v>0</v>
      </c>
      <c r="R281" s="485"/>
      <c r="S281" s="486"/>
      <c r="T281" s="483">
        <f t="shared" si="22"/>
        <v>15133</v>
      </c>
      <c r="U281" s="484">
        <f t="shared" si="23"/>
        <v>14498</v>
      </c>
      <c r="V281" s="485">
        <v>5994</v>
      </c>
      <c r="W281" s="486">
        <v>4987</v>
      </c>
      <c r="X281" s="485">
        <v>1287</v>
      </c>
      <c r="Y281" s="486">
        <v>178</v>
      </c>
      <c r="Z281" s="485">
        <v>7852</v>
      </c>
      <c r="AA281" s="485">
        <v>0</v>
      </c>
      <c r="AB281" s="485">
        <v>0</v>
      </c>
      <c r="AC281" s="486">
        <v>9333</v>
      </c>
      <c r="AD281" s="486">
        <v>0</v>
      </c>
      <c r="AE281" s="486">
        <v>0</v>
      </c>
      <c r="AF281" s="485"/>
      <c r="AG281" s="486"/>
    </row>
    <row r="282" spans="1:33">
      <c r="A282" s="122" t="s">
        <v>337</v>
      </c>
      <c r="B282" s="123" t="s">
        <v>349</v>
      </c>
      <c r="C282" s="124"/>
      <c r="D282" s="125">
        <v>199281</v>
      </c>
      <c r="E282" s="125">
        <v>5</v>
      </c>
      <c r="F282" s="483">
        <f t="shared" si="20"/>
        <v>148798</v>
      </c>
      <c r="G282" s="484">
        <f t="shared" si="21"/>
        <v>157525</v>
      </c>
      <c r="H282" s="485">
        <v>108303</v>
      </c>
      <c r="I282" s="486">
        <v>108847</v>
      </c>
      <c r="J282" s="485">
        <v>1416</v>
      </c>
      <c r="K282" s="486">
        <v>1065</v>
      </c>
      <c r="L282" s="485">
        <v>38629</v>
      </c>
      <c r="M282" s="485">
        <v>450</v>
      </c>
      <c r="N282" s="485">
        <v>0</v>
      </c>
      <c r="O282" s="486">
        <v>47294</v>
      </c>
      <c r="P282" s="486">
        <v>319</v>
      </c>
      <c r="Q282" s="486">
        <v>0</v>
      </c>
      <c r="R282" s="485"/>
      <c r="S282" s="486"/>
      <c r="T282" s="483">
        <f t="shared" si="22"/>
        <v>12210</v>
      </c>
      <c r="U282" s="484">
        <f t="shared" si="23"/>
        <v>16342</v>
      </c>
      <c r="V282" s="485">
        <v>5384</v>
      </c>
      <c r="W282" s="486">
        <v>5668</v>
      </c>
      <c r="X282" s="485">
        <v>964</v>
      </c>
      <c r="Y282" s="486">
        <v>765</v>
      </c>
      <c r="Z282" s="485">
        <v>5769</v>
      </c>
      <c r="AA282" s="485">
        <v>93</v>
      </c>
      <c r="AB282" s="485">
        <v>0</v>
      </c>
      <c r="AC282" s="486">
        <v>9909</v>
      </c>
      <c r="AD282" s="486">
        <v>0</v>
      </c>
      <c r="AE282" s="486">
        <v>0</v>
      </c>
      <c r="AF282" s="485"/>
      <c r="AG282" s="486"/>
    </row>
    <row r="283" spans="1:33">
      <c r="A283" s="122" t="s">
        <v>337</v>
      </c>
      <c r="B283" s="123" t="s">
        <v>350</v>
      </c>
      <c r="C283" s="124"/>
      <c r="D283" s="125">
        <v>199999</v>
      </c>
      <c r="E283" s="125">
        <v>5</v>
      </c>
      <c r="F283" s="483">
        <f t="shared" si="20"/>
        <v>130938</v>
      </c>
      <c r="G283" s="484">
        <f t="shared" si="21"/>
        <v>134963</v>
      </c>
      <c r="H283" s="485">
        <v>103842</v>
      </c>
      <c r="I283" s="486">
        <v>106798</v>
      </c>
      <c r="J283" s="485">
        <v>154</v>
      </c>
      <c r="K283" s="486">
        <v>14</v>
      </c>
      <c r="L283" s="485">
        <v>15636</v>
      </c>
      <c r="M283" s="485">
        <v>0</v>
      </c>
      <c r="N283" s="485">
        <v>11306</v>
      </c>
      <c r="O283" s="486">
        <v>17248</v>
      </c>
      <c r="P283" s="486">
        <v>0</v>
      </c>
      <c r="Q283" s="486">
        <v>10903</v>
      </c>
      <c r="R283" s="485"/>
      <c r="S283" s="486"/>
      <c r="T283" s="483">
        <f t="shared" si="22"/>
        <v>10299</v>
      </c>
      <c r="U283" s="484">
        <f t="shared" si="23"/>
        <v>10437</v>
      </c>
      <c r="V283" s="485">
        <v>6116</v>
      </c>
      <c r="W283" s="486">
        <v>6228</v>
      </c>
      <c r="X283" s="485">
        <v>243</v>
      </c>
      <c r="Y283" s="486">
        <v>84</v>
      </c>
      <c r="Z283" s="485">
        <v>2315</v>
      </c>
      <c r="AA283" s="485">
        <v>0</v>
      </c>
      <c r="AB283" s="485">
        <v>1625</v>
      </c>
      <c r="AC283" s="486">
        <v>2461</v>
      </c>
      <c r="AD283" s="486">
        <v>0</v>
      </c>
      <c r="AE283" s="486">
        <v>1664</v>
      </c>
      <c r="AF283" s="485"/>
      <c r="AG283" s="486"/>
    </row>
    <row r="284" spans="1:33">
      <c r="A284" s="122" t="s">
        <v>337</v>
      </c>
      <c r="B284" s="123" t="s">
        <v>351</v>
      </c>
      <c r="C284" s="124"/>
      <c r="D284" s="125">
        <v>198507</v>
      </c>
      <c r="E284" s="125">
        <v>6</v>
      </c>
      <c r="F284" s="483">
        <f t="shared" si="20"/>
        <v>36807</v>
      </c>
      <c r="G284" s="484">
        <f t="shared" si="21"/>
        <v>41216</v>
      </c>
      <c r="H284" s="485">
        <v>31183</v>
      </c>
      <c r="I284" s="486">
        <v>34062</v>
      </c>
      <c r="J284" s="485">
        <v>80</v>
      </c>
      <c r="K284" s="486">
        <v>100</v>
      </c>
      <c r="L284" s="485">
        <v>5373</v>
      </c>
      <c r="M284" s="485">
        <v>171</v>
      </c>
      <c r="N284" s="485">
        <v>0</v>
      </c>
      <c r="O284" s="486">
        <v>6877</v>
      </c>
      <c r="P284" s="486">
        <v>177</v>
      </c>
      <c r="Q284" s="486">
        <v>0</v>
      </c>
      <c r="R284" s="485"/>
      <c r="S284" s="486"/>
      <c r="T284" s="483">
        <f t="shared" si="22"/>
        <v>743</v>
      </c>
      <c r="U284" s="484">
        <f t="shared" si="23"/>
        <v>653</v>
      </c>
      <c r="V284" s="485">
        <v>632</v>
      </c>
      <c r="W284" s="486">
        <v>509</v>
      </c>
      <c r="X284" s="485">
        <v>0</v>
      </c>
      <c r="Y284" s="486">
        <v>0</v>
      </c>
      <c r="Z284" s="485">
        <v>111</v>
      </c>
      <c r="AA284" s="485">
        <v>0</v>
      </c>
      <c r="AB284" s="485">
        <v>0</v>
      </c>
      <c r="AC284" s="486">
        <v>144</v>
      </c>
      <c r="AD284" s="486">
        <v>0</v>
      </c>
      <c r="AE284" s="486">
        <v>0</v>
      </c>
      <c r="AF284" s="485"/>
      <c r="AG284" s="486"/>
    </row>
    <row r="285" spans="1:33">
      <c r="A285" s="122" t="s">
        <v>337</v>
      </c>
      <c r="B285" s="123" t="s">
        <v>972</v>
      </c>
      <c r="C285" s="124"/>
      <c r="D285" s="125">
        <v>199184</v>
      </c>
      <c r="E285" s="125">
        <v>15</v>
      </c>
      <c r="F285" s="483"/>
      <c r="G285" s="484"/>
      <c r="H285" s="485"/>
      <c r="I285" s="486">
        <v>26953</v>
      </c>
      <c r="J285" s="485"/>
      <c r="K285" s="486">
        <v>0</v>
      </c>
      <c r="L285" s="485"/>
      <c r="M285" s="485"/>
      <c r="N285" s="485"/>
      <c r="O285" s="486">
        <v>849</v>
      </c>
      <c r="P285" s="486">
        <v>0</v>
      </c>
      <c r="Q285" s="486">
        <v>0</v>
      </c>
      <c r="R285" s="485"/>
      <c r="S285" s="486"/>
      <c r="T285" s="483"/>
      <c r="U285" s="484"/>
      <c r="V285" s="485"/>
      <c r="W285" s="486">
        <v>3726</v>
      </c>
      <c r="X285" s="485"/>
      <c r="Y285" s="486">
        <v>0</v>
      </c>
      <c r="Z285" s="485"/>
      <c r="AA285" s="485"/>
      <c r="AB285" s="485"/>
      <c r="AC285" s="486">
        <v>0</v>
      </c>
      <c r="AD285" s="486">
        <v>0</v>
      </c>
      <c r="AE285" s="486">
        <v>0</v>
      </c>
      <c r="AF285" s="485"/>
      <c r="AG285" s="486"/>
    </row>
    <row r="286" spans="1:33">
      <c r="A286" s="122" t="s">
        <v>337</v>
      </c>
      <c r="B286" s="123" t="s">
        <v>352</v>
      </c>
      <c r="C286" s="124"/>
      <c r="D286" s="125">
        <v>199111</v>
      </c>
      <c r="E286" s="125">
        <v>6</v>
      </c>
      <c r="F286" s="483">
        <f>SUM(H286,J286,L286,M286,N286,R286)</f>
        <v>103254</v>
      </c>
      <c r="G286" s="484">
        <f>SUM(I286,K286,O286,P286,Q286,S286)</f>
        <v>102105</v>
      </c>
      <c r="H286" s="485">
        <v>99072</v>
      </c>
      <c r="I286" s="486">
        <v>98279</v>
      </c>
      <c r="J286" s="485">
        <v>864</v>
      </c>
      <c r="K286" s="486">
        <v>402</v>
      </c>
      <c r="L286" s="485">
        <v>808</v>
      </c>
      <c r="M286" s="485">
        <v>2510</v>
      </c>
      <c r="N286" s="485">
        <v>0</v>
      </c>
      <c r="O286" s="486">
        <v>884</v>
      </c>
      <c r="P286" s="486">
        <v>2540</v>
      </c>
      <c r="Q286" s="486">
        <v>0</v>
      </c>
      <c r="R286" s="485"/>
      <c r="S286" s="486"/>
      <c r="T286" s="483">
        <f>SUM(V286,X286,Z286,AA286,AB286,AF286)</f>
        <v>278</v>
      </c>
      <c r="U286" s="484">
        <f>SUM(W286,Y286,AC286,AD286,AE286,AG286)</f>
        <v>229</v>
      </c>
      <c r="V286" s="485">
        <v>269</v>
      </c>
      <c r="W286" s="486">
        <v>229</v>
      </c>
      <c r="X286" s="485">
        <v>0</v>
      </c>
      <c r="Y286" s="486">
        <v>0</v>
      </c>
      <c r="Z286" s="485">
        <v>9</v>
      </c>
      <c r="AA286" s="485">
        <v>0</v>
      </c>
      <c r="AB286" s="485">
        <v>0</v>
      </c>
      <c r="AC286" s="486">
        <v>0</v>
      </c>
      <c r="AD286" s="486">
        <v>0</v>
      </c>
      <c r="AE286" s="486">
        <v>0</v>
      </c>
      <c r="AF286" s="485"/>
      <c r="AG286" s="486"/>
    </row>
    <row r="287" spans="1:33" s="28" customFormat="1" ht="13.5" customHeight="1">
      <c r="A287" s="84" t="s">
        <v>337</v>
      </c>
      <c r="B287" s="89" t="s">
        <v>354</v>
      </c>
      <c r="C287" s="86"/>
      <c r="D287" s="88">
        <v>197887</v>
      </c>
      <c r="E287" s="88">
        <v>8</v>
      </c>
      <c r="F287" s="483">
        <f t="shared" ref="F287:F350" si="24">SUM(H287,J287,L287,M287,N287,R287)</f>
        <v>138460</v>
      </c>
      <c r="G287" s="484">
        <f t="shared" ref="G287:G350" si="25">SUM(I287,K287,O287,P287,Q287,S287)</f>
        <v>134652</v>
      </c>
      <c r="H287" s="485">
        <v>87229</v>
      </c>
      <c r="I287" s="486">
        <v>77613</v>
      </c>
      <c r="J287" s="485">
        <v>9263</v>
      </c>
      <c r="K287" s="486">
        <v>9482</v>
      </c>
      <c r="L287" s="485">
        <v>40452</v>
      </c>
      <c r="M287" s="485">
        <v>1516</v>
      </c>
      <c r="N287" s="485">
        <v>0</v>
      </c>
      <c r="O287" s="486">
        <v>45949</v>
      </c>
      <c r="P287" s="486">
        <v>1608</v>
      </c>
      <c r="Q287" s="486">
        <v>0</v>
      </c>
      <c r="R287" s="485"/>
      <c r="S287" s="486"/>
      <c r="T287" s="483">
        <f t="shared" ref="T287:T350" si="26">SUM(V287,X287,Z287,AA287,AB287,AF287)</f>
        <v>0</v>
      </c>
      <c r="U287" s="484">
        <f t="shared" ref="U287:U344" si="27">SUM(W287,Y287,AC287,AD287,AE287,AG287)</f>
        <v>0</v>
      </c>
      <c r="V287" s="485"/>
      <c r="W287" s="486"/>
      <c r="X287" s="485"/>
      <c r="Y287" s="486"/>
      <c r="Z287" s="485"/>
      <c r="AA287" s="485"/>
      <c r="AB287" s="485"/>
      <c r="AC287" s="486"/>
      <c r="AD287" s="486"/>
      <c r="AE287" s="486"/>
      <c r="AF287" s="485"/>
      <c r="AG287" s="486"/>
    </row>
    <row r="288" spans="1:33">
      <c r="A288" s="84" t="s">
        <v>337</v>
      </c>
      <c r="B288" s="89" t="s">
        <v>360</v>
      </c>
      <c r="C288" s="86"/>
      <c r="D288" s="88">
        <v>198154</v>
      </c>
      <c r="E288" s="88">
        <v>8</v>
      </c>
      <c r="F288" s="483">
        <f t="shared" si="24"/>
        <v>184087</v>
      </c>
      <c r="G288" s="484">
        <f t="shared" si="25"/>
        <v>180547</v>
      </c>
      <c r="H288" s="485">
        <v>106050</v>
      </c>
      <c r="I288" s="486">
        <v>99943</v>
      </c>
      <c r="J288" s="485">
        <v>313</v>
      </c>
      <c r="K288" s="486">
        <v>402</v>
      </c>
      <c r="L288" s="485">
        <v>77724</v>
      </c>
      <c r="M288" s="485">
        <v>0</v>
      </c>
      <c r="N288" s="485">
        <v>0</v>
      </c>
      <c r="O288" s="486">
        <v>80202</v>
      </c>
      <c r="P288" s="486">
        <v>0</v>
      </c>
      <c r="Q288" s="486">
        <v>0</v>
      </c>
      <c r="R288" s="485"/>
      <c r="S288" s="486"/>
      <c r="T288" s="483">
        <f t="shared" si="26"/>
        <v>0</v>
      </c>
      <c r="U288" s="484">
        <f t="shared" si="27"/>
        <v>0</v>
      </c>
      <c r="V288" s="485"/>
      <c r="W288" s="486"/>
      <c r="X288" s="485"/>
      <c r="Y288" s="486"/>
      <c r="Z288" s="485"/>
      <c r="AA288" s="485"/>
      <c r="AB288" s="485"/>
      <c r="AC288" s="486"/>
      <c r="AD288" s="486"/>
      <c r="AE288" s="486"/>
      <c r="AF288" s="485"/>
      <c r="AG288" s="486"/>
    </row>
    <row r="289" spans="1:33">
      <c r="A289" s="84" t="s">
        <v>337</v>
      </c>
      <c r="B289" s="89" t="s">
        <v>364</v>
      </c>
      <c r="C289" s="86"/>
      <c r="D289" s="88">
        <v>198260</v>
      </c>
      <c r="E289" s="88">
        <v>8</v>
      </c>
      <c r="F289" s="483">
        <f t="shared" si="24"/>
        <v>400937.1</v>
      </c>
      <c r="G289" s="484">
        <f t="shared" si="25"/>
        <v>398707</v>
      </c>
      <c r="H289" s="485">
        <v>244159.1</v>
      </c>
      <c r="I289" s="486">
        <v>231467</v>
      </c>
      <c r="J289" s="485">
        <v>10557</v>
      </c>
      <c r="K289" s="486">
        <v>12609</v>
      </c>
      <c r="L289" s="485">
        <v>146207</v>
      </c>
      <c r="M289" s="485">
        <v>0</v>
      </c>
      <c r="N289" s="485">
        <v>14</v>
      </c>
      <c r="O289" s="486">
        <v>154631</v>
      </c>
      <c r="P289" s="486">
        <v>0</v>
      </c>
      <c r="Q289" s="486">
        <v>0</v>
      </c>
      <c r="R289" s="485"/>
      <c r="S289" s="486"/>
      <c r="T289" s="483">
        <f t="shared" si="26"/>
        <v>0</v>
      </c>
      <c r="U289" s="484">
        <f t="shared" si="27"/>
        <v>0</v>
      </c>
      <c r="V289" s="485"/>
      <c r="W289" s="486"/>
      <c r="X289" s="485"/>
      <c r="Y289" s="486"/>
      <c r="Z289" s="485"/>
      <c r="AA289" s="485"/>
      <c r="AB289" s="485"/>
      <c r="AC289" s="486"/>
      <c r="AD289" s="486"/>
      <c r="AE289" s="486"/>
      <c r="AF289" s="485"/>
      <c r="AG289" s="486"/>
    </row>
    <row r="290" spans="1:33">
      <c r="A290" s="84" t="s">
        <v>337</v>
      </c>
      <c r="B290" s="89" t="s">
        <v>372</v>
      </c>
      <c r="C290" s="86"/>
      <c r="D290" s="88">
        <v>198534</v>
      </c>
      <c r="E290" s="88">
        <v>8</v>
      </c>
      <c r="F290" s="483">
        <f t="shared" si="24"/>
        <v>248161</v>
      </c>
      <c r="G290" s="484">
        <f t="shared" si="25"/>
        <v>246044</v>
      </c>
      <c r="H290" s="485">
        <v>103134</v>
      </c>
      <c r="I290" s="486">
        <v>98321</v>
      </c>
      <c r="J290" s="485">
        <v>4014</v>
      </c>
      <c r="K290" s="486">
        <v>2346</v>
      </c>
      <c r="L290" s="485">
        <v>140941</v>
      </c>
      <c r="M290" s="485">
        <v>72</v>
      </c>
      <c r="N290" s="485">
        <v>0</v>
      </c>
      <c r="O290" s="486">
        <v>145332</v>
      </c>
      <c r="P290" s="486">
        <v>45</v>
      </c>
      <c r="Q290" s="486">
        <v>0</v>
      </c>
      <c r="R290" s="485"/>
      <c r="S290" s="486"/>
      <c r="T290" s="483">
        <f t="shared" si="26"/>
        <v>0</v>
      </c>
      <c r="U290" s="484">
        <f t="shared" si="27"/>
        <v>0</v>
      </c>
      <c r="V290" s="485"/>
      <c r="W290" s="486"/>
      <c r="X290" s="485"/>
      <c r="Y290" s="486"/>
      <c r="Z290" s="485"/>
      <c r="AA290" s="485"/>
      <c r="AB290" s="485"/>
      <c r="AC290" s="486"/>
      <c r="AD290" s="486"/>
      <c r="AE290" s="486"/>
      <c r="AF290" s="485"/>
      <c r="AG290" s="486"/>
    </row>
    <row r="291" spans="1:33">
      <c r="A291" s="84" t="s">
        <v>337</v>
      </c>
      <c r="B291" s="89" t="s">
        <v>373</v>
      </c>
      <c r="C291" s="86"/>
      <c r="D291" s="88">
        <v>198552</v>
      </c>
      <c r="E291" s="88">
        <v>8</v>
      </c>
      <c r="F291" s="483">
        <f t="shared" si="24"/>
        <v>161483</v>
      </c>
      <c r="G291" s="484">
        <f t="shared" si="25"/>
        <v>162956</v>
      </c>
      <c r="H291" s="485">
        <v>100364</v>
      </c>
      <c r="I291" s="486">
        <v>96388</v>
      </c>
      <c r="J291" s="485">
        <v>5701</v>
      </c>
      <c r="K291" s="486">
        <v>6008</v>
      </c>
      <c r="L291" s="485">
        <v>54855</v>
      </c>
      <c r="M291" s="485">
        <v>563</v>
      </c>
      <c r="N291" s="485">
        <v>0</v>
      </c>
      <c r="O291" s="486">
        <v>60226</v>
      </c>
      <c r="P291" s="486">
        <v>334</v>
      </c>
      <c r="Q291" s="486">
        <v>0</v>
      </c>
      <c r="R291" s="485"/>
      <c r="S291" s="486"/>
      <c r="T291" s="483">
        <f t="shared" si="26"/>
        <v>0</v>
      </c>
      <c r="U291" s="484">
        <f t="shared" si="27"/>
        <v>0</v>
      </c>
      <c r="V291" s="485"/>
      <c r="W291" s="486"/>
      <c r="X291" s="485"/>
      <c r="Y291" s="486"/>
      <c r="Z291" s="485"/>
      <c r="AA291" s="485"/>
      <c r="AB291" s="485"/>
      <c r="AC291" s="486"/>
      <c r="AD291" s="486"/>
      <c r="AE291" s="486"/>
      <c r="AF291" s="485"/>
      <c r="AG291" s="486"/>
    </row>
    <row r="292" spans="1:33">
      <c r="A292" s="84" t="s">
        <v>337</v>
      </c>
      <c r="B292" s="89" t="s">
        <v>375</v>
      </c>
      <c r="C292" s="86"/>
      <c r="D292" s="88">
        <v>198622</v>
      </c>
      <c r="E292" s="88">
        <v>8</v>
      </c>
      <c r="F292" s="483">
        <f t="shared" si="24"/>
        <v>217974.5</v>
      </c>
      <c r="G292" s="484">
        <f t="shared" si="25"/>
        <v>215073</v>
      </c>
      <c r="H292" s="485">
        <v>135833.5</v>
      </c>
      <c r="I292" s="486">
        <v>131697</v>
      </c>
      <c r="J292" s="485">
        <v>3520</v>
      </c>
      <c r="K292" s="486">
        <v>4396</v>
      </c>
      <c r="L292" s="485">
        <v>78621</v>
      </c>
      <c r="M292" s="485">
        <v>0</v>
      </c>
      <c r="N292" s="485">
        <v>0</v>
      </c>
      <c r="O292" s="486">
        <v>78980</v>
      </c>
      <c r="P292" s="486">
        <v>0</v>
      </c>
      <c r="Q292" s="486">
        <v>0</v>
      </c>
      <c r="R292" s="485"/>
      <c r="S292" s="486"/>
      <c r="T292" s="483">
        <f t="shared" si="26"/>
        <v>0</v>
      </c>
      <c r="U292" s="484">
        <f t="shared" si="27"/>
        <v>0</v>
      </c>
      <c r="V292" s="485"/>
      <c r="W292" s="486"/>
      <c r="X292" s="485"/>
      <c r="Y292" s="486"/>
      <c r="Z292" s="485"/>
      <c r="AA292" s="485"/>
      <c r="AB292" s="485"/>
      <c r="AC292" s="486"/>
      <c r="AD292" s="486"/>
      <c r="AE292" s="486"/>
      <c r="AF292" s="485"/>
      <c r="AG292" s="486"/>
    </row>
    <row r="293" spans="1:33">
      <c r="A293" s="84" t="s">
        <v>337</v>
      </c>
      <c r="B293" s="89" t="s">
        <v>390</v>
      </c>
      <c r="C293" s="86"/>
      <c r="D293" s="88">
        <v>199333</v>
      </c>
      <c r="E293" s="88">
        <v>8</v>
      </c>
      <c r="F293" s="483">
        <f t="shared" si="24"/>
        <v>174299</v>
      </c>
      <c r="G293" s="484">
        <f t="shared" si="25"/>
        <v>175132</v>
      </c>
      <c r="H293" s="485">
        <v>73150</v>
      </c>
      <c r="I293" s="486">
        <v>68556</v>
      </c>
      <c r="J293" s="485">
        <v>9751</v>
      </c>
      <c r="K293" s="486">
        <v>11917</v>
      </c>
      <c r="L293" s="485">
        <v>91398</v>
      </c>
      <c r="M293" s="485">
        <v>0</v>
      </c>
      <c r="N293" s="485">
        <v>0</v>
      </c>
      <c r="O293" s="486">
        <v>94515</v>
      </c>
      <c r="P293" s="486">
        <v>144</v>
      </c>
      <c r="Q293" s="486">
        <v>0</v>
      </c>
      <c r="R293" s="485"/>
      <c r="S293" s="486"/>
      <c r="T293" s="483">
        <f t="shared" si="26"/>
        <v>0</v>
      </c>
      <c r="U293" s="484">
        <f t="shared" si="27"/>
        <v>0</v>
      </c>
      <c r="V293" s="485"/>
      <c r="W293" s="486"/>
      <c r="X293" s="485"/>
      <c r="Y293" s="486"/>
      <c r="Z293" s="485"/>
      <c r="AA293" s="485"/>
      <c r="AB293" s="485"/>
      <c r="AC293" s="486"/>
      <c r="AD293" s="486"/>
      <c r="AE293" s="486"/>
      <c r="AF293" s="485"/>
      <c r="AG293" s="486"/>
    </row>
    <row r="294" spans="1:33">
      <c r="A294" s="84" t="s">
        <v>337</v>
      </c>
      <c r="B294" s="89" t="s">
        <v>396</v>
      </c>
      <c r="C294" s="130"/>
      <c r="D294" s="88">
        <v>199494</v>
      </c>
      <c r="E294" s="93">
        <v>8</v>
      </c>
      <c r="F294" s="483">
        <f t="shared" si="24"/>
        <v>115124</v>
      </c>
      <c r="G294" s="484">
        <f t="shared" si="25"/>
        <v>121306</v>
      </c>
      <c r="H294" s="485">
        <v>54776</v>
      </c>
      <c r="I294" s="486">
        <v>51264</v>
      </c>
      <c r="J294" s="485">
        <v>6137</v>
      </c>
      <c r="K294" s="486">
        <v>7184</v>
      </c>
      <c r="L294" s="485">
        <v>54211</v>
      </c>
      <c r="M294" s="485">
        <v>0</v>
      </c>
      <c r="N294" s="485">
        <v>0</v>
      </c>
      <c r="O294" s="486">
        <v>62858</v>
      </c>
      <c r="P294" s="486">
        <v>0</v>
      </c>
      <c r="Q294" s="486">
        <v>0</v>
      </c>
      <c r="R294" s="485"/>
      <c r="S294" s="486"/>
      <c r="T294" s="483">
        <f t="shared" si="26"/>
        <v>0</v>
      </c>
      <c r="U294" s="484">
        <f t="shared" si="27"/>
        <v>0</v>
      </c>
      <c r="V294" s="485"/>
      <c r="W294" s="486"/>
      <c r="X294" s="485"/>
      <c r="Y294" s="486"/>
      <c r="Z294" s="485"/>
      <c r="AA294" s="485"/>
      <c r="AB294" s="485"/>
      <c r="AC294" s="486"/>
      <c r="AD294" s="486"/>
      <c r="AE294" s="486"/>
      <c r="AF294" s="485"/>
      <c r="AG294" s="486"/>
    </row>
    <row r="295" spans="1:33">
      <c r="A295" s="84" t="s">
        <v>337</v>
      </c>
      <c r="B295" s="89" t="s">
        <v>406</v>
      </c>
      <c r="C295" s="130"/>
      <c r="D295" s="88">
        <v>199856</v>
      </c>
      <c r="E295" s="88">
        <v>8</v>
      </c>
      <c r="F295" s="483">
        <f t="shared" si="24"/>
        <v>454331</v>
      </c>
      <c r="G295" s="484">
        <f t="shared" si="25"/>
        <v>450324</v>
      </c>
      <c r="H295" s="485">
        <v>265774</v>
      </c>
      <c r="I295" s="486">
        <v>247792</v>
      </c>
      <c r="J295" s="485">
        <v>4652</v>
      </c>
      <c r="K295" s="486">
        <v>4391</v>
      </c>
      <c r="L295" s="485">
        <v>183905</v>
      </c>
      <c r="M295" s="485">
        <v>0</v>
      </c>
      <c r="N295" s="485">
        <v>0</v>
      </c>
      <c r="O295" s="486">
        <v>198141</v>
      </c>
      <c r="P295" s="486">
        <v>0</v>
      </c>
      <c r="Q295" s="486">
        <v>0</v>
      </c>
      <c r="R295" s="485"/>
      <c r="S295" s="486"/>
      <c r="T295" s="483">
        <f t="shared" si="26"/>
        <v>0</v>
      </c>
      <c r="U295" s="484">
        <f t="shared" si="27"/>
        <v>0</v>
      </c>
      <c r="V295" s="485"/>
      <c r="W295" s="486"/>
      <c r="X295" s="485"/>
      <c r="Y295" s="486"/>
      <c r="Z295" s="485"/>
      <c r="AA295" s="485"/>
      <c r="AB295" s="485"/>
      <c r="AC295" s="486"/>
      <c r="AD295" s="486"/>
      <c r="AE295" s="486"/>
      <c r="AF295" s="485"/>
      <c r="AG295" s="486"/>
    </row>
    <row r="296" spans="1:33">
      <c r="A296" s="84" t="s">
        <v>337</v>
      </c>
      <c r="B296" s="89" t="s">
        <v>353</v>
      </c>
      <c r="C296" s="86"/>
      <c r="D296" s="88">
        <v>199786</v>
      </c>
      <c r="E296" s="88">
        <v>9</v>
      </c>
      <c r="F296" s="483">
        <f t="shared" si="24"/>
        <v>85528</v>
      </c>
      <c r="G296" s="484">
        <f t="shared" si="25"/>
        <v>85227</v>
      </c>
      <c r="H296" s="485">
        <v>51987</v>
      </c>
      <c r="I296" s="486">
        <v>49639</v>
      </c>
      <c r="J296" s="485">
        <v>4039</v>
      </c>
      <c r="K296" s="486">
        <v>4592</v>
      </c>
      <c r="L296" s="485">
        <v>29502</v>
      </c>
      <c r="M296" s="485">
        <v>0</v>
      </c>
      <c r="N296" s="485">
        <v>0</v>
      </c>
      <c r="O296" s="486">
        <v>30996</v>
      </c>
      <c r="P296" s="486">
        <v>0</v>
      </c>
      <c r="Q296" s="486">
        <v>0</v>
      </c>
      <c r="R296" s="485"/>
      <c r="S296" s="486"/>
      <c r="T296" s="483">
        <f t="shared" si="26"/>
        <v>0</v>
      </c>
      <c r="U296" s="484">
        <f t="shared" si="27"/>
        <v>0</v>
      </c>
      <c r="V296" s="485"/>
      <c r="W296" s="486"/>
      <c r="X296" s="485"/>
      <c r="Y296" s="486"/>
      <c r="Z296" s="485"/>
      <c r="AA296" s="485"/>
      <c r="AB296" s="485"/>
      <c r="AC296" s="486"/>
      <c r="AD296" s="486"/>
      <c r="AE296" s="486"/>
      <c r="AF296" s="485"/>
      <c r="AG296" s="486"/>
    </row>
    <row r="297" spans="1:33">
      <c r="A297" s="84" t="s">
        <v>337</v>
      </c>
      <c r="B297" s="89" t="s">
        <v>359</v>
      </c>
      <c r="C297" s="86"/>
      <c r="D297" s="88">
        <v>198118</v>
      </c>
      <c r="E297" s="88">
        <v>9</v>
      </c>
      <c r="F297" s="483">
        <f t="shared" si="24"/>
        <v>68850</v>
      </c>
      <c r="G297" s="484">
        <f t="shared" si="25"/>
        <v>68976</v>
      </c>
      <c r="H297" s="485">
        <v>29679</v>
      </c>
      <c r="I297" s="486">
        <v>26268</v>
      </c>
      <c r="J297" s="485">
        <v>2512</v>
      </c>
      <c r="K297" s="486">
        <v>3371</v>
      </c>
      <c r="L297" s="485">
        <v>31097</v>
      </c>
      <c r="M297" s="485">
        <v>5562</v>
      </c>
      <c r="N297" s="485">
        <v>0</v>
      </c>
      <c r="O297" s="486">
        <v>34582</v>
      </c>
      <c r="P297" s="486">
        <v>4755</v>
      </c>
      <c r="Q297" s="486">
        <v>0</v>
      </c>
      <c r="R297" s="485"/>
      <c r="S297" s="486"/>
      <c r="T297" s="483">
        <f t="shared" si="26"/>
        <v>0</v>
      </c>
      <c r="U297" s="484">
        <f t="shared" si="27"/>
        <v>0</v>
      </c>
      <c r="V297" s="485"/>
      <c r="W297" s="486"/>
      <c r="X297" s="485"/>
      <c r="Y297" s="486"/>
      <c r="Z297" s="485"/>
      <c r="AA297" s="485"/>
      <c r="AB297" s="485"/>
      <c r="AC297" s="486"/>
      <c r="AD297" s="486"/>
      <c r="AE297" s="486"/>
      <c r="AF297" s="485"/>
      <c r="AG297" s="486"/>
    </row>
    <row r="298" spans="1:33">
      <c r="A298" s="84" t="s">
        <v>337</v>
      </c>
      <c r="B298" s="89" t="s">
        <v>362</v>
      </c>
      <c r="C298" s="86"/>
      <c r="D298" s="88">
        <v>198233</v>
      </c>
      <c r="E298" s="88">
        <v>9</v>
      </c>
      <c r="F298" s="483">
        <f t="shared" si="24"/>
        <v>96171</v>
      </c>
      <c r="G298" s="484">
        <f t="shared" si="25"/>
        <v>93701</v>
      </c>
      <c r="H298" s="485">
        <v>41438</v>
      </c>
      <c r="I298" s="486">
        <v>37918</v>
      </c>
      <c r="J298" s="485">
        <v>2863</v>
      </c>
      <c r="K298" s="486">
        <v>2306</v>
      </c>
      <c r="L298" s="485">
        <v>51870</v>
      </c>
      <c r="M298" s="485">
        <v>0</v>
      </c>
      <c r="N298" s="485">
        <v>0</v>
      </c>
      <c r="O298" s="486">
        <v>53477</v>
      </c>
      <c r="P298" s="486">
        <v>0</v>
      </c>
      <c r="Q298" s="486">
        <v>0</v>
      </c>
      <c r="R298" s="485"/>
      <c r="S298" s="486"/>
      <c r="T298" s="483">
        <f t="shared" si="26"/>
        <v>0</v>
      </c>
      <c r="U298" s="484">
        <f t="shared" si="27"/>
        <v>0</v>
      </c>
      <c r="V298" s="485"/>
      <c r="W298" s="486"/>
      <c r="X298" s="485"/>
      <c r="Y298" s="486"/>
      <c r="Z298" s="485"/>
      <c r="AA298" s="485"/>
      <c r="AB298" s="485"/>
      <c r="AC298" s="486"/>
      <c r="AD298" s="486"/>
      <c r="AE298" s="486"/>
      <c r="AF298" s="485"/>
      <c r="AG298" s="486"/>
    </row>
    <row r="299" spans="1:33">
      <c r="A299" s="84" t="s">
        <v>337</v>
      </c>
      <c r="B299" s="89" t="s">
        <v>363</v>
      </c>
      <c r="C299" s="86"/>
      <c r="D299" s="88">
        <v>198251</v>
      </c>
      <c r="E299" s="88">
        <v>9</v>
      </c>
      <c r="F299" s="483">
        <f t="shared" si="24"/>
        <v>99762</v>
      </c>
      <c r="G299" s="484">
        <f t="shared" si="25"/>
        <v>97555</v>
      </c>
      <c r="H299" s="485">
        <v>48193</v>
      </c>
      <c r="I299" s="486">
        <v>44438</v>
      </c>
      <c r="J299" s="485">
        <v>7017</v>
      </c>
      <c r="K299" s="486">
        <v>7140</v>
      </c>
      <c r="L299" s="485">
        <v>44552</v>
      </c>
      <c r="M299" s="485">
        <v>0</v>
      </c>
      <c r="N299" s="485">
        <v>0</v>
      </c>
      <c r="O299" s="486">
        <v>45977</v>
      </c>
      <c r="P299" s="486">
        <v>0</v>
      </c>
      <c r="Q299" s="486">
        <v>0</v>
      </c>
      <c r="R299" s="485"/>
      <c r="S299" s="486"/>
      <c r="T299" s="483">
        <f t="shared" si="26"/>
        <v>0</v>
      </c>
      <c r="U299" s="484">
        <f t="shared" si="27"/>
        <v>0</v>
      </c>
      <c r="V299" s="485"/>
      <c r="W299" s="486"/>
      <c r="X299" s="485"/>
      <c r="Y299" s="486"/>
      <c r="Z299" s="485"/>
      <c r="AA299" s="485"/>
      <c r="AB299" s="485"/>
      <c r="AC299" s="486"/>
      <c r="AD299" s="486"/>
      <c r="AE299" s="486"/>
      <c r="AF299" s="485"/>
      <c r="AG299" s="486"/>
    </row>
    <row r="300" spans="1:33">
      <c r="A300" s="84" t="s">
        <v>337</v>
      </c>
      <c r="B300" s="89" t="s">
        <v>365</v>
      </c>
      <c r="C300" s="86"/>
      <c r="D300" s="88">
        <v>198321</v>
      </c>
      <c r="E300" s="88">
        <v>9</v>
      </c>
      <c r="F300" s="483">
        <f t="shared" si="24"/>
        <v>57333.5</v>
      </c>
      <c r="G300" s="484">
        <f t="shared" si="25"/>
        <v>53584</v>
      </c>
      <c r="H300" s="485">
        <v>20061</v>
      </c>
      <c r="I300" s="486">
        <v>17848</v>
      </c>
      <c r="J300" s="485">
        <v>7581</v>
      </c>
      <c r="K300" s="486">
        <v>7047</v>
      </c>
      <c r="L300" s="485">
        <v>29591.5</v>
      </c>
      <c r="M300" s="485">
        <v>100</v>
      </c>
      <c r="N300" s="485">
        <v>0</v>
      </c>
      <c r="O300" s="486">
        <v>28590</v>
      </c>
      <c r="P300" s="486">
        <v>99</v>
      </c>
      <c r="Q300" s="486">
        <v>0</v>
      </c>
      <c r="R300" s="485"/>
      <c r="S300" s="486"/>
      <c r="T300" s="483">
        <f t="shared" si="26"/>
        <v>0</v>
      </c>
      <c r="U300" s="484">
        <f t="shared" si="27"/>
        <v>0</v>
      </c>
      <c r="V300" s="485"/>
      <c r="W300" s="486"/>
      <c r="X300" s="485"/>
      <c r="Y300" s="486"/>
      <c r="Z300" s="485"/>
      <c r="AA300" s="485"/>
      <c r="AB300" s="485"/>
      <c r="AC300" s="486"/>
      <c r="AD300" s="486"/>
      <c r="AE300" s="486"/>
      <c r="AF300" s="485"/>
      <c r="AG300" s="486"/>
    </row>
    <row r="301" spans="1:33">
      <c r="A301" s="84" t="s">
        <v>337</v>
      </c>
      <c r="B301" s="127" t="s">
        <v>366</v>
      </c>
      <c r="C301" s="128"/>
      <c r="D301" s="88">
        <v>198330</v>
      </c>
      <c r="E301" s="88">
        <v>9</v>
      </c>
      <c r="F301" s="483">
        <f t="shared" si="24"/>
        <v>87910</v>
      </c>
      <c r="G301" s="484">
        <f t="shared" si="25"/>
        <v>88909</v>
      </c>
      <c r="H301" s="485">
        <v>57483</v>
      </c>
      <c r="I301" s="486">
        <v>56697</v>
      </c>
      <c r="J301" s="485">
        <v>4515</v>
      </c>
      <c r="K301" s="486">
        <v>4092</v>
      </c>
      <c r="L301" s="485">
        <v>25912</v>
      </c>
      <c r="M301" s="485">
        <v>0</v>
      </c>
      <c r="N301" s="485">
        <v>0</v>
      </c>
      <c r="O301" s="486">
        <v>28120</v>
      </c>
      <c r="P301" s="486">
        <v>0</v>
      </c>
      <c r="Q301" s="486">
        <v>0</v>
      </c>
      <c r="R301" s="485"/>
      <c r="S301" s="486"/>
      <c r="T301" s="483">
        <f t="shared" si="26"/>
        <v>0</v>
      </c>
      <c r="U301" s="484">
        <f t="shared" si="27"/>
        <v>0</v>
      </c>
      <c r="V301" s="485"/>
      <c r="W301" s="486"/>
      <c r="X301" s="485"/>
      <c r="Y301" s="486"/>
      <c r="Z301" s="485"/>
      <c r="AA301" s="485"/>
      <c r="AB301" s="485"/>
      <c r="AC301" s="486"/>
      <c r="AD301" s="486"/>
      <c r="AE301" s="486"/>
      <c r="AF301" s="485"/>
      <c r="AG301" s="486"/>
    </row>
    <row r="302" spans="1:33">
      <c r="A302" s="84" t="s">
        <v>337</v>
      </c>
      <c r="B302" s="89" t="s">
        <v>368</v>
      </c>
      <c r="C302" s="86"/>
      <c r="D302" s="88">
        <v>198367</v>
      </c>
      <c r="E302" s="88">
        <v>9</v>
      </c>
      <c r="F302" s="483">
        <f t="shared" si="24"/>
        <v>62086</v>
      </c>
      <c r="G302" s="484">
        <f t="shared" si="25"/>
        <v>61332</v>
      </c>
      <c r="H302" s="485">
        <v>29387</v>
      </c>
      <c r="I302" s="486">
        <v>27923</v>
      </c>
      <c r="J302" s="485">
        <v>479</v>
      </c>
      <c r="K302" s="486">
        <v>801</v>
      </c>
      <c r="L302" s="485">
        <v>32220</v>
      </c>
      <c r="M302" s="485">
        <v>0</v>
      </c>
      <c r="N302" s="485">
        <v>0</v>
      </c>
      <c r="O302" s="486">
        <v>32608</v>
      </c>
      <c r="P302" s="486">
        <v>0</v>
      </c>
      <c r="Q302" s="486">
        <v>0</v>
      </c>
      <c r="R302" s="485"/>
      <c r="S302" s="486"/>
      <c r="T302" s="483">
        <f t="shared" si="26"/>
        <v>0</v>
      </c>
      <c r="U302" s="484">
        <f t="shared" si="27"/>
        <v>0</v>
      </c>
      <c r="V302" s="485"/>
      <c r="W302" s="486"/>
      <c r="X302" s="485"/>
      <c r="Y302" s="486"/>
      <c r="Z302" s="485"/>
      <c r="AA302" s="485"/>
      <c r="AB302" s="485"/>
      <c r="AC302" s="486"/>
      <c r="AD302" s="486"/>
      <c r="AE302" s="486"/>
      <c r="AF302" s="485"/>
      <c r="AG302" s="486"/>
    </row>
    <row r="303" spans="1:33">
      <c r="A303" s="84" t="s">
        <v>337</v>
      </c>
      <c r="B303" s="89" t="s">
        <v>369</v>
      </c>
      <c r="C303" s="86"/>
      <c r="D303" s="88">
        <v>198376</v>
      </c>
      <c r="E303" s="88">
        <v>9</v>
      </c>
      <c r="F303" s="483">
        <f t="shared" si="24"/>
        <v>73138</v>
      </c>
      <c r="G303" s="484">
        <f t="shared" si="25"/>
        <v>72728</v>
      </c>
      <c r="H303" s="485">
        <v>26698</v>
      </c>
      <c r="I303" s="486">
        <v>25351</v>
      </c>
      <c r="J303" s="485">
        <v>853</v>
      </c>
      <c r="K303" s="486">
        <v>708</v>
      </c>
      <c r="L303" s="485">
        <v>45181</v>
      </c>
      <c r="M303" s="485">
        <v>406</v>
      </c>
      <c r="N303" s="485">
        <v>0</v>
      </c>
      <c r="O303" s="486">
        <v>46300</v>
      </c>
      <c r="P303" s="486">
        <v>369</v>
      </c>
      <c r="Q303" s="486">
        <v>0</v>
      </c>
      <c r="R303" s="485"/>
      <c r="S303" s="486"/>
      <c r="T303" s="483">
        <f t="shared" si="26"/>
        <v>0</v>
      </c>
      <c r="U303" s="484">
        <f t="shared" si="27"/>
        <v>0</v>
      </c>
      <c r="V303" s="485"/>
      <c r="W303" s="486"/>
      <c r="X303" s="485"/>
      <c r="Y303" s="486"/>
      <c r="Z303" s="485"/>
      <c r="AA303" s="485"/>
      <c r="AB303" s="485"/>
      <c r="AC303" s="486"/>
      <c r="AD303" s="486"/>
      <c r="AE303" s="486"/>
      <c r="AF303" s="485"/>
      <c r="AG303" s="486"/>
    </row>
    <row r="304" spans="1:33">
      <c r="A304" s="84" t="s">
        <v>337</v>
      </c>
      <c r="B304" s="89" t="s">
        <v>370</v>
      </c>
      <c r="C304" s="86"/>
      <c r="D304" s="88">
        <v>198455</v>
      </c>
      <c r="E304" s="88">
        <v>9</v>
      </c>
      <c r="F304" s="483">
        <f t="shared" si="24"/>
        <v>100486</v>
      </c>
      <c r="G304" s="484">
        <f t="shared" si="25"/>
        <v>100705</v>
      </c>
      <c r="H304" s="485">
        <v>63415</v>
      </c>
      <c r="I304" s="486">
        <v>61161</v>
      </c>
      <c r="J304" s="485">
        <v>1034</v>
      </c>
      <c r="K304" s="486">
        <v>1147</v>
      </c>
      <c r="L304" s="485">
        <v>36037</v>
      </c>
      <c r="M304" s="485">
        <v>0</v>
      </c>
      <c r="N304" s="485">
        <v>0</v>
      </c>
      <c r="O304" s="486">
        <v>38397</v>
      </c>
      <c r="P304" s="486">
        <v>0</v>
      </c>
      <c r="Q304" s="486">
        <v>0</v>
      </c>
      <c r="R304" s="485"/>
      <c r="S304" s="486"/>
      <c r="T304" s="483">
        <f t="shared" si="26"/>
        <v>0</v>
      </c>
      <c r="U304" s="484">
        <f t="shared" si="27"/>
        <v>0</v>
      </c>
      <c r="V304" s="485"/>
      <c r="W304" s="486"/>
      <c r="X304" s="485"/>
      <c r="Y304" s="486"/>
      <c r="Z304" s="485"/>
      <c r="AA304" s="485"/>
      <c r="AB304" s="485"/>
      <c r="AC304" s="486"/>
      <c r="AD304" s="486"/>
      <c r="AE304" s="486"/>
      <c r="AF304" s="485"/>
      <c r="AG304" s="486"/>
    </row>
    <row r="305" spans="1:33">
      <c r="A305" s="84" t="s">
        <v>337</v>
      </c>
      <c r="B305" s="89" t="s">
        <v>371</v>
      </c>
      <c r="C305" s="131" t="s">
        <v>970</v>
      </c>
      <c r="D305" s="88">
        <v>198491</v>
      </c>
      <c r="E305" s="132">
        <v>10</v>
      </c>
      <c r="F305" s="483">
        <f t="shared" si="24"/>
        <v>45823</v>
      </c>
      <c r="G305" s="484">
        <f t="shared" si="25"/>
        <v>43800</v>
      </c>
      <c r="H305" s="485">
        <v>18207</v>
      </c>
      <c r="I305" s="486">
        <v>15886</v>
      </c>
      <c r="J305" s="485">
        <v>2470</v>
      </c>
      <c r="K305" s="486">
        <v>2625</v>
      </c>
      <c r="L305" s="485">
        <v>25146</v>
      </c>
      <c r="M305" s="485">
        <v>0</v>
      </c>
      <c r="N305" s="485">
        <v>0</v>
      </c>
      <c r="O305" s="486">
        <v>25289</v>
      </c>
      <c r="P305" s="486">
        <v>0</v>
      </c>
      <c r="Q305" s="486">
        <v>0</v>
      </c>
      <c r="R305" s="485"/>
      <c r="S305" s="486"/>
      <c r="T305" s="483">
        <f t="shared" si="26"/>
        <v>0</v>
      </c>
      <c r="U305" s="484">
        <f t="shared" si="27"/>
        <v>0</v>
      </c>
      <c r="V305" s="485"/>
      <c r="W305" s="486"/>
      <c r="X305" s="485"/>
      <c r="Y305" s="486"/>
      <c r="Z305" s="485"/>
      <c r="AA305" s="485"/>
      <c r="AB305" s="485"/>
      <c r="AC305" s="486"/>
      <c r="AD305" s="486"/>
      <c r="AE305" s="486"/>
      <c r="AF305" s="485"/>
      <c r="AG305" s="486"/>
    </row>
    <row r="306" spans="1:33">
      <c r="A306" s="84" t="s">
        <v>337</v>
      </c>
      <c r="B306" s="89" t="s">
        <v>374</v>
      </c>
      <c r="C306" s="90"/>
      <c r="D306" s="88">
        <v>198570</v>
      </c>
      <c r="E306" s="88">
        <v>9</v>
      </c>
      <c r="F306" s="483">
        <f t="shared" si="24"/>
        <v>106785</v>
      </c>
      <c r="G306" s="484">
        <f t="shared" si="25"/>
        <v>106557</v>
      </c>
      <c r="H306" s="485">
        <v>54566</v>
      </c>
      <c r="I306" s="486">
        <v>50349</v>
      </c>
      <c r="J306" s="485">
        <v>1693</v>
      </c>
      <c r="K306" s="486">
        <v>2051</v>
      </c>
      <c r="L306" s="485">
        <v>49863</v>
      </c>
      <c r="M306" s="485">
        <v>663</v>
      </c>
      <c r="N306" s="485">
        <v>0</v>
      </c>
      <c r="O306" s="486">
        <v>53902</v>
      </c>
      <c r="P306" s="486">
        <v>255</v>
      </c>
      <c r="Q306" s="486">
        <v>0</v>
      </c>
      <c r="R306" s="485"/>
      <c r="S306" s="486"/>
      <c r="T306" s="483">
        <f t="shared" si="26"/>
        <v>0</v>
      </c>
      <c r="U306" s="484">
        <f t="shared" si="27"/>
        <v>0</v>
      </c>
      <c r="V306" s="485"/>
      <c r="W306" s="486"/>
      <c r="X306" s="485"/>
      <c r="Y306" s="486"/>
      <c r="Z306" s="485"/>
      <c r="AA306" s="485"/>
      <c r="AB306" s="485"/>
      <c r="AC306" s="486"/>
      <c r="AD306" s="486"/>
      <c r="AE306" s="486"/>
      <c r="AF306" s="485"/>
      <c r="AG306" s="486"/>
    </row>
    <row r="307" spans="1:33">
      <c r="A307" s="84" t="s">
        <v>337</v>
      </c>
      <c r="B307" s="89" t="s">
        <v>380</v>
      </c>
      <c r="C307" s="86"/>
      <c r="D307" s="88">
        <v>198774</v>
      </c>
      <c r="E307" s="88">
        <v>9</v>
      </c>
      <c r="F307" s="483">
        <f t="shared" si="24"/>
        <v>80727</v>
      </c>
      <c r="G307" s="484">
        <f t="shared" si="25"/>
        <v>80117</v>
      </c>
      <c r="H307" s="485">
        <v>39803</v>
      </c>
      <c r="I307" s="486">
        <v>37941</v>
      </c>
      <c r="J307" s="485">
        <v>5283</v>
      </c>
      <c r="K307" s="486">
        <v>4097</v>
      </c>
      <c r="L307" s="485">
        <v>35343</v>
      </c>
      <c r="M307" s="485">
        <v>298</v>
      </c>
      <c r="N307" s="485">
        <v>0</v>
      </c>
      <c r="O307" s="486">
        <v>37900</v>
      </c>
      <c r="P307" s="486">
        <v>179</v>
      </c>
      <c r="Q307" s="486">
        <v>0</v>
      </c>
      <c r="R307" s="485"/>
      <c r="S307" s="486"/>
      <c r="T307" s="483">
        <f t="shared" si="26"/>
        <v>0</v>
      </c>
      <c r="U307" s="484">
        <f t="shared" si="27"/>
        <v>0</v>
      </c>
      <c r="V307" s="485"/>
      <c r="W307" s="486"/>
      <c r="X307" s="485"/>
      <c r="Y307" s="486"/>
      <c r="Z307" s="485"/>
      <c r="AA307" s="485"/>
      <c r="AB307" s="485"/>
      <c r="AC307" s="486"/>
      <c r="AD307" s="486"/>
      <c r="AE307" s="486"/>
      <c r="AF307" s="485"/>
      <c r="AG307" s="486"/>
    </row>
    <row r="308" spans="1:33">
      <c r="A308" s="84" t="s">
        <v>337</v>
      </c>
      <c r="B308" s="89" t="s">
        <v>381</v>
      </c>
      <c r="C308" s="86"/>
      <c r="D308" s="88">
        <v>198817</v>
      </c>
      <c r="E308" s="88">
        <v>9</v>
      </c>
      <c r="F308" s="483">
        <f t="shared" si="24"/>
        <v>55035</v>
      </c>
      <c r="G308" s="484">
        <f t="shared" si="25"/>
        <v>54499</v>
      </c>
      <c r="H308" s="485">
        <v>19859</v>
      </c>
      <c r="I308" s="486">
        <v>19989</v>
      </c>
      <c r="J308" s="485">
        <v>2732</v>
      </c>
      <c r="K308" s="486">
        <v>3256</v>
      </c>
      <c r="L308" s="485">
        <v>32444</v>
      </c>
      <c r="M308" s="485">
        <v>0</v>
      </c>
      <c r="N308" s="485">
        <v>0</v>
      </c>
      <c r="O308" s="486">
        <v>31115</v>
      </c>
      <c r="P308" s="486">
        <v>139</v>
      </c>
      <c r="Q308" s="486">
        <v>0</v>
      </c>
      <c r="R308" s="485"/>
      <c r="S308" s="486"/>
      <c r="T308" s="483">
        <f t="shared" si="26"/>
        <v>0</v>
      </c>
      <c r="U308" s="484">
        <f t="shared" si="27"/>
        <v>0</v>
      </c>
      <c r="V308" s="485"/>
      <c r="W308" s="486"/>
      <c r="X308" s="485"/>
      <c r="Y308" s="486"/>
      <c r="Z308" s="485"/>
      <c r="AA308" s="485"/>
      <c r="AB308" s="485"/>
      <c r="AC308" s="486"/>
      <c r="AD308" s="486"/>
      <c r="AE308" s="486"/>
      <c r="AF308" s="485"/>
      <c r="AG308" s="486"/>
    </row>
    <row r="309" spans="1:33">
      <c r="A309" s="84" t="s">
        <v>337</v>
      </c>
      <c r="B309" s="89" t="s">
        <v>385</v>
      </c>
      <c r="C309" s="86"/>
      <c r="D309" s="88">
        <v>198987</v>
      </c>
      <c r="E309" s="88">
        <v>9</v>
      </c>
      <c r="F309" s="483">
        <f t="shared" si="24"/>
        <v>59758</v>
      </c>
      <c r="G309" s="484">
        <f t="shared" si="25"/>
        <v>57998</v>
      </c>
      <c r="H309" s="485">
        <v>22270</v>
      </c>
      <c r="I309" s="486">
        <v>21028</v>
      </c>
      <c r="J309" s="485">
        <v>3057</v>
      </c>
      <c r="K309" s="486">
        <v>2352</v>
      </c>
      <c r="L309" s="485">
        <v>34431</v>
      </c>
      <c r="M309" s="485">
        <v>0</v>
      </c>
      <c r="N309" s="485">
        <v>0</v>
      </c>
      <c r="O309" s="486">
        <v>34618</v>
      </c>
      <c r="P309" s="486">
        <v>0</v>
      </c>
      <c r="Q309" s="486">
        <v>0</v>
      </c>
      <c r="R309" s="485"/>
      <c r="S309" s="486"/>
      <c r="T309" s="483">
        <f t="shared" si="26"/>
        <v>0</v>
      </c>
      <c r="U309" s="484">
        <f t="shared" si="27"/>
        <v>0</v>
      </c>
      <c r="V309" s="485"/>
      <c r="W309" s="486"/>
      <c r="X309" s="485"/>
      <c r="Y309" s="486"/>
      <c r="Z309" s="485"/>
      <c r="AA309" s="485"/>
      <c r="AB309" s="485"/>
      <c r="AC309" s="486"/>
      <c r="AD309" s="486"/>
      <c r="AE309" s="486"/>
      <c r="AF309" s="485"/>
      <c r="AG309" s="486"/>
    </row>
    <row r="310" spans="1:33">
      <c r="A310" s="84" t="s">
        <v>337</v>
      </c>
      <c r="B310" s="89" t="s">
        <v>387</v>
      </c>
      <c r="C310" s="86"/>
      <c r="D310" s="88">
        <v>199087</v>
      </c>
      <c r="E310" s="88">
        <v>9</v>
      </c>
      <c r="F310" s="483">
        <f t="shared" si="24"/>
        <v>57389</v>
      </c>
      <c r="G310" s="484">
        <f t="shared" si="25"/>
        <v>60358</v>
      </c>
      <c r="H310" s="485">
        <v>25029</v>
      </c>
      <c r="I310" s="486">
        <v>24714</v>
      </c>
      <c r="J310" s="485">
        <v>1397</v>
      </c>
      <c r="K310" s="486">
        <v>3160</v>
      </c>
      <c r="L310" s="485">
        <v>30963</v>
      </c>
      <c r="M310" s="485">
        <v>0</v>
      </c>
      <c r="N310" s="485">
        <v>0</v>
      </c>
      <c r="O310" s="486">
        <v>32484</v>
      </c>
      <c r="P310" s="486">
        <v>0</v>
      </c>
      <c r="Q310" s="486">
        <v>0</v>
      </c>
      <c r="R310" s="485"/>
      <c r="S310" s="486"/>
      <c r="T310" s="483">
        <f t="shared" si="26"/>
        <v>0</v>
      </c>
      <c r="U310" s="484">
        <f t="shared" si="27"/>
        <v>0</v>
      </c>
      <c r="V310" s="485"/>
      <c r="W310" s="486"/>
      <c r="X310" s="485"/>
      <c r="Y310" s="486"/>
      <c r="Z310" s="485"/>
      <c r="AA310" s="485"/>
      <c r="AB310" s="485"/>
      <c r="AC310" s="486"/>
      <c r="AD310" s="486"/>
      <c r="AE310" s="486"/>
      <c r="AF310" s="485"/>
      <c r="AG310" s="486"/>
    </row>
    <row r="311" spans="1:33">
      <c r="A311" s="84" t="s">
        <v>337</v>
      </c>
      <c r="B311" s="89" t="s">
        <v>391</v>
      </c>
      <c r="C311" s="86"/>
      <c r="D311" s="88">
        <v>199421</v>
      </c>
      <c r="E311" s="88">
        <v>9</v>
      </c>
      <c r="F311" s="483">
        <f t="shared" si="24"/>
        <v>55466</v>
      </c>
      <c r="G311" s="484">
        <f t="shared" si="25"/>
        <v>53994</v>
      </c>
      <c r="H311" s="485">
        <v>26872</v>
      </c>
      <c r="I311" s="486">
        <v>24208</v>
      </c>
      <c r="J311" s="485">
        <v>1018</v>
      </c>
      <c r="K311" s="486">
        <v>1548</v>
      </c>
      <c r="L311" s="485">
        <v>27471</v>
      </c>
      <c r="M311" s="485">
        <v>105</v>
      </c>
      <c r="N311" s="485">
        <v>0</v>
      </c>
      <c r="O311" s="486">
        <v>28055</v>
      </c>
      <c r="P311" s="486">
        <v>183</v>
      </c>
      <c r="Q311" s="486">
        <v>0</v>
      </c>
      <c r="R311" s="485"/>
      <c r="S311" s="486"/>
      <c r="T311" s="483">
        <f t="shared" si="26"/>
        <v>0</v>
      </c>
      <c r="U311" s="484">
        <f t="shared" si="27"/>
        <v>0</v>
      </c>
      <c r="V311" s="485"/>
      <c r="W311" s="486"/>
      <c r="X311" s="485"/>
      <c r="Y311" s="486"/>
      <c r="Z311" s="485"/>
      <c r="AA311" s="485"/>
      <c r="AB311" s="485"/>
      <c r="AC311" s="486"/>
      <c r="AD311" s="486"/>
      <c r="AE311" s="486"/>
      <c r="AF311" s="485"/>
      <c r="AG311" s="486"/>
    </row>
    <row r="312" spans="1:33">
      <c r="A312" s="84" t="s">
        <v>337</v>
      </c>
      <c r="B312" s="89" t="s">
        <v>392</v>
      </c>
      <c r="C312" s="90"/>
      <c r="D312" s="88">
        <v>199449</v>
      </c>
      <c r="E312" s="129">
        <v>9</v>
      </c>
      <c r="F312" s="483">
        <f t="shared" si="24"/>
        <v>51616</v>
      </c>
      <c r="G312" s="484">
        <f t="shared" si="25"/>
        <v>51665</v>
      </c>
      <c r="H312" s="485">
        <v>20591</v>
      </c>
      <c r="I312" s="486">
        <v>18350</v>
      </c>
      <c r="J312" s="485">
        <v>2253</v>
      </c>
      <c r="K312" s="486">
        <v>1883</v>
      </c>
      <c r="L312" s="485">
        <v>28772</v>
      </c>
      <c r="M312" s="485">
        <v>0</v>
      </c>
      <c r="N312" s="485">
        <v>0</v>
      </c>
      <c r="O312" s="486">
        <v>31432</v>
      </c>
      <c r="P312" s="486">
        <v>0</v>
      </c>
      <c r="Q312" s="486">
        <v>0</v>
      </c>
      <c r="R312" s="485"/>
      <c r="S312" s="486"/>
      <c r="T312" s="483">
        <f t="shared" si="26"/>
        <v>0</v>
      </c>
      <c r="U312" s="484">
        <f t="shared" si="27"/>
        <v>0</v>
      </c>
      <c r="V312" s="485"/>
      <c r="W312" s="486"/>
      <c r="X312" s="485"/>
      <c r="Y312" s="486"/>
      <c r="Z312" s="485"/>
      <c r="AA312" s="485"/>
      <c r="AB312" s="485"/>
      <c r="AC312" s="486"/>
      <c r="AD312" s="486"/>
      <c r="AE312" s="486"/>
      <c r="AF312" s="485"/>
      <c r="AG312" s="486"/>
    </row>
    <row r="313" spans="1:33">
      <c r="A313" s="84" t="s">
        <v>337</v>
      </c>
      <c r="B313" s="89" t="s">
        <v>394</v>
      </c>
      <c r="C313" s="131" t="s">
        <v>970</v>
      </c>
      <c r="D313" s="88">
        <v>199476</v>
      </c>
      <c r="E313" s="132">
        <v>10</v>
      </c>
      <c r="F313" s="483">
        <f t="shared" si="24"/>
        <v>38784</v>
      </c>
      <c r="G313" s="484">
        <f t="shared" si="25"/>
        <v>37570</v>
      </c>
      <c r="H313" s="485">
        <v>22119</v>
      </c>
      <c r="I313" s="486">
        <v>20219</v>
      </c>
      <c r="J313" s="485">
        <v>483</v>
      </c>
      <c r="K313" s="486">
        <v>557</v>
      </c>
      <c r="L313" s="485">
        <v>16182</v>
      </c>
      <c r="M313" s="485">
        <v>0</v>
      </c>
      <c r="N313" s="485">
        <v>0</v>
      </c>
      <c r="O313" s="486">
        <v>16794</v>
      </c>
      <c r="P313" s="486">
        <v>0</v>
      </c>
      <c r="Q313" s="486">
        <v>0</v>
      </c>
      <c r="R313" s="485"/>
      <c r="S313" s="486"/>
      <c r="T313" s="483">
        <f t="shared" si="26"/>
        <v>0</v>
      </c>
      <c r="U313" s="484">
        <f t="shared" si="27"/>
        <v>0</v>
      </c>
      <c r="V313" s="485"/>
      <c r="W313" s="486"/>
      <c r="X313" s="485"/>
      <c r="Y313" s="486"/>
      <c r="Z313" s="485"/>
      <c r="AA313" s="485"/>
      <c r="AB313" s="485"/>
      <c r="AC313" s="486"/>
      <c r="AD313" s="486"/>
      <c r="AE313" s="486"/>
      <c r="AF313" s="485"/>
      <c r="AG313" s="486"/>
    </row>
    <row r="314" spans="1:33">
      <c r="A314" s="84" t="s">
        <v>337</v>
      </c>
      <c r="B314" s="89" t="s">
        <v>398</v>
      </c>
      <c r="C314" s="130"/>
      <c r="D314" s="88">
        <v>199634</v>
      </c>
      <c r="E314" s="88">
        <v>9</v>
      </c>
      <c r="F314" s="483">
        <f t="shared" si="24"/>
        <v>78557</v>
      </c>
      <c r="G314" s="484">
        <f t="shared" si="25"/>
        <v>82556</v>
      </c>
      <c r="H314" s="485">
        <v>33537</v>
      </c>
      <c r="I314" s="486">
        <v>34985</v>
      </c>
      <c r="J314" s="485">
        <v>2994</v>
      </c>
      <c r="K314" s="486">
        <v>2446</v>
      </c>
      <c r="L314" s="485">
        <v>42026</v>
      </c>
      <c r="M314" s="485">
        <v>0</v>
      </c>
      <c r="N314" s="485">
        <v>0</v>
      </c>
      <c r="O314" s="486">
        <v>45125</v>
      </c>
      <c r="P314" s="486">
        <v>0</v>
      </c>
      <c r="Q314" s="486">
        <v>0</v>
      </c>
      <c r="R314" s="485"/>
      <c r="S314" s="486"/>
      <c r="T314" s="483">
        <f t="shared" si="26"/>
        <v>0</v>
      </c>
      <c r="U314" s="484">
        <f t="shared" si="27"/>
        <v>0</v>
      </c>
      <c r="V314" s="485"/>
      <c r="W314" s="486"/>
      <c r="X314" s="485"/>
      <c r="Y314" s="486"/>
      <c r="Z314" s="485"/>
      <c r="AA314" s="485"/>
      <c r="AB314" s="485"/>
      <c r="AC314" s="486"/>
      <c r="AD314" s="486"/>
      <c r="AE314" s="486"/>
      <c r="AF314" s="485"/>
      <c r="AG314" s="486"/>
    </row>
    <row r="315" spans="1:33">
      <c r="A315" s="84" t="s">
        <v>337</v>
      </c>
      <c r="B315" s="89" t="s">
        <v>402</v>
      </c>
      <c r="C315" s="130"/>
      <c r="D315" s="88">
        <v>199740</v>
      </c>
      <c r="E315" s="88">
        <v>9</v>
      </c>
      <c r="F315" s="483">
        <f t="shared" si="24"/>
        <v>50885</v>
      </c>
      <c r="G315" s="484">
        <f t="shared" si="25"/>
        <v>50354</v>
      </c>
      <c r="H315" s="485">
        <v>13278</v>
      </c>
      <c r="I315" s="486">
        <v>11263</v>
      </c>
      <c r="J315" s="485">
        <v>3704</v>
      </c>
      <c r="K315" s="486">
        <v>3657</v>
      </c>
      <c r="L315" s="485">
        <v>33903</v>
      </c>
      <c r="M315" s="485">
        <v>0</v>
      </c>
      <c r="N315" s="485">
        <v>0</v>
      </c>
      <c r="O315" s="486">
        <v>35434</v>
      </c>
      <c r="P315" s="486">
        <v>0</v>
      </c>
      <c r="Q315" s="486">
        <v>0</v>
      </c>
      <c r="R315" s="485"/>
      <c r="S315" s="486"/>
      <c r="T315" s="483">
        <f t="shared" si="26"/>
        <v>0</v>
      </c>
      <c r="U315" s="484">
        <f t="shared" si="27"/>
        <v>0</v>
      </c>
      <c r="V315" s="485"/>
      <c r="W315" s="486"/>
      <c r="X315" s="485"/>
      <c r="Y315" s="486"/>
      <c r="Z315" s="485"/>
      <c r="AA315" s="485"/>
      <c r="AB315" s="485"/>
      <c r="AC315" s="486"/>
      <c r="AD315" s="486"/>
      <c r="AE315" s="486"/>
      <c r="AF315" s="485"/>
      <c r="AG315" s="486"/>
    </row>
    <row r="316" spans="1:33">
      <c r="A316" s="84" t="s">
        <v>337</v>
      </c>
      <c r="B316" s="89" t="s">
        <v>403</v>
      </c>
      <c r="C316" s="130"/>
      <c r="D316" s="88">
        <v>199768</v>
      </c>
      <c r="E316" s="88">
        <v>9</v>
      </c>
      <c r="F316" s="483">
        <f t="shared" si="24"/>
        <v>51056</v>
      </c>
      <c r="G316" s="484">
        <f t="shared" si="25"/>
        <v>60747</v>
      </c>
      <c r="H316" s="485">
        <v>30785</v>
      </c>
      <c r="I316" s="486">
        <v>34830</v>
      </c>
      <c r="J316" s="485">
        <v>613</v>
      </c>
      <c r="K316" s="486">
        <v>608</v>
      </c>
      <c r="L316" s="485">
        <v>19295</v>
      </c>
      <c r="M316" s="485">
        <v>363</v>
      </c>
      <c r="N316" s="485">
        <v>0</v>
      </c>
      <c r="O316" s="486">
        <v>24737</v>
      </c>
      <c r="P316" s="486">
        <v>572</v>
      </c>
      <c r="Q316" s="486">
        <v>0</v>
      </c>
      <c r="R316" s="485"/>
      <c r="S316" s="486"/>
      <c r="T316" s="483">
        <f t="shared" si="26"/>
        <v>0</v>
      </c>
      <c r="U316" s="484">
        <f t="shared" si="27"/>
        <v>0</v>
      </c>
      <c r="V316" s="485"/>
      <c r="W316" s="486"/>
      <c r="X316" s="485"/>
      <c r="Y316" s="486"/>
      <c r="Z316" s="485"/>
      <c r="AA316" s="485"/>
      <c r="AB316" s="485"/>
      <c r="AC316" s="486"/>
      <c r="AD316" s="486"/>
      <c r="AE316" s="486"/>
      <c r="AF316" s="485"/>
      <c r="AG316" s="486"/>
    </row>
    <row r="317" spans="1:33">
      <c r="A317" s="84" t="s">
        <v>337</v>
      </c>
      <c r="B317" s="89" t="s">
        <v>405</v>
      </c>
      <c r="C317" s="130"/>
      <c r="D317" s="88">
        <v>199838</v>
      </c>
      <c r="E317" s="88">
        <v>9</v>
      </c>
      <c r="F317" s="483">
        <f t="shared" si="24"/>
        <v>58398</v>
      </c>
      <c r="G317" s="484">
        <f t="shared" si="25"/>
        <v>55711</v>
      </c>
      <c r="H317" s="485">
        <v>26642</v>
      </c>
      <c r="I317" s="486">
        <v>24474</v>
      </c>
      <c r="J317" s="485">
        <v>1555</v>
      </c>
      <c r="K317" s="486">
        <v>1260</v>
      </c>
      <c r="L317" s="485">
        <v>29411</v>
      </c>
      <c r="M317" s="485">
        <v>790</v>
      </c>
      <c r="N317" s="485">
        <v>0</v>
      </c>
      <c r="O317" s="486">
        <v>29364</v>
      </c>
      <c r="P317" s="486">
        <v>613</v>
      </c>
      <c r="Q317" s="486">
        <v>0</v>
      </c>
      <c r="R317" s="485"/>
      <c r="S317" s="486"/>
      <c r="T317" s="483">
        <f t="shared" si="26"/>
        <v>0</v>
      </c>
      <c r="U317" s="484">
        <f t="shared" si="27"/>
        <v>0</v>
      </c>
      <c r="V317" s="485"/>
      <c r="W317" s="486"/>
      <c r="X317" s="485"/>
      <c r="Y317" s="486"/>
      <c r="Z317" s="485"/>
      <c r="AA317" s="485"/>
      <c r="AB317" s="485"/>
      <c r="AC317" s="486"/>
      <c r="AD317" s="486"/>
      <c r="AE317" s="486"/>
      <c r="AF317" s="485"/>
      <c r="AG317" s="486"/>
    </row>
    <row r="318" spans="1:33">
      <c r="A318" s="84" t="s">
        <v>337</v>
      </c>
      <c r="B318" s="89" t="s">
        <v>407</v>
      </c>
      <c r="C318" s="130"/>
      <c r="D318" s="88">
        <v>199892</v>
      </c>
      <c r="E318" s="88">
        <v>9</v>
      </c>
      <c r="F318" s="483">
        <f t="shared" si="24"/>
        <v>69911</v>
      </c>
      <c r="G318" s="484">
        <f t="shared" si="25"/>
        <v>71828</v>
      </c>
      <c r="H318" s="485">
        <v>32695</v>
      </c>
      <c r="I318" s="486">
        <v>31679</v>
      </c>
      <c r="J318" s="485">
        <v>989</v>
      </c>
      <c r="K318" s="486">
        <v>360</v>
      </c>
      <c r="L318" s="485">
        <v>36227</v>
      </c>
      <c r="M318" s="485">
        <v>0</v>
      </c>
      <c r="N318" s="485">
        <v>0</v>
      </c>
      <c r="O318" s="486">
        <v>39789</v>
      </c>
      <c r="P318" s="486">
        <v>0</v>
      </c>
      <c r="Q318" s="486">
        <v>0</v>
      </c>
      <c r="R318" s="485"/>
      <c r="S318" s="486"/>
      <c r="T318" s="483">
        <f t="shared" si="26"/>
        <v>0</v>
      </c>
      <c r="U318" s="484">
        <f t="shared" si="27"/>
        <v>0</v>
      </c>
      <c r="V318" s="485"/>
      <c r="W318" s="486"/>
      <c r="X318" s="485"/>
      <c r="Y318" s="486"/>
      <c r="Z318" s="485"/>
      <c r="AA318" s="485"/>
      <c r="AB318" s="485"/>
      <c r="AC318" s="486"/>
      <c r="AD318" s="486"/>
      <c r="AE318" s="486"/>
      <c r="AF318" s="485"/>
      <c r="AG318" s="486"/>
    </row>
    <row r="319" spans="1:33">
      <c r="A319" s="84" t="s">
        <v>337</v>
      </c>
      <c r="B319" s="89" t="s">
        <v>409</v>
      </c>
      <c r="C319" s="86"/>
      <c r="D319" s="88">
        <v>199926</v>
      </c>
      <c r="E319" s="88">
        <v>9</v>
      </c>
      <c r="F319" s="483">
        <f t="shared" si="24"/>
        <v>56620</v>
      </c>
      <c r="G319" s="484">
        <f t="shared" si="25"/>
        <v>55086</v>
      </c>
      <c r="H319" s="485">
        <v>32809</v>
      </c>
      <c r="I319" s="486">
        <v>30404</v>
      </c>
      <c r="J319" s="485">
        <v>5579</v>
      </c>
      <c r="K319" s="486">
        <v>5742</v>
      </c>
      <c r="L319" s="485">
        <v>17040</v>
      </c>
      <c r="M319" s="485">
        <v>1192</v>
      </c>
      <c r="N319" s="485">
        <v>0</v>
      </c>
      <c r="O319" s="486">
        <v>18700</v>
      </c>
      <c r="P319" s="486">
        <v>240</v>
      </c>
      <c r="Q319" s="486">
        <v>0</v>
      </c>
      <c r="R319" s="485"/>
      <c r="S319" s="486"/>
      <c r="T319" s="483">
        <f t="shared" si="26"/>
        <v>0</v>
      </c>
      <c r="U319" s="484">
        <f t="shared" si="27"/>
        <v>0</v>
      </c>
      <c r="V319" s="485"/>
      <c r="W319" s="486"/>
      <c r="X319" s="485"/>
      <c r="Y319" s="486"/>
      <c r="Z319" s="485"/>
      <c r="AA319" s="485"/>
      <c r="AB319" s="485"/>
      <c r="AC319" s="486"/>
      <c r="AD319" s="486"/>
      <c r="AE319" s="486"/>
      <c r="AF319" s="485"/>
      <c r="AG319" s="486"/>
    </row>
    <row r="320" spans="1:33">
      <c r="A320" s="84" t="s">
        <v>337</v>
      </c>
      <c r="B320" s="89" t="s">
        <v>355</v>
      </c>
      <c r="C320" s="86"/>
      <c r="D320" s="88">
        <v>197966</v>
      </c>
      <c r="E320" s="88">
        <v>10</v>
      </c>
      <c r="F320" s="483">
        <f t="shared" si="24"/>
        <v>28162</v>
      </c>
      <c r="G320" s="484">
        <f t="shared" si="25"/>
        <v>28199</v>
      </c>
      <c r="H320" s="485">
        <v>6919</v>
      </c>
      <c r="I320" s="486">
        <v>9067</v>
      </c>
      <c r="J320" s="485">
        <v>301</v>
      </c>
      <c r="K320" s="486">
        <v>1318</v>
      </c>
      <c r="L320" s="485">
        <v>18358</v>
      </c>
      <c r="M320" s="485">
        <v>0</v>
      </c>
      <c r="N320" s="485">
        <v>2584</v>
      </c>
      <c r="O320" s="486">
        <v>17310</v>
      </c>
      <c r="P320" s="486">
        <v>0</v>
      </c>
      <c r="Q320" s="486">
        <v>504</v>
      </c>
      <c r="R320" s="485"/>
      <c r="S320" s="486"/>
      <c r="T320" s="483">
        <f t="shared" si="26"/>
        <v>0</v>
      </c>
      <c r="U320" s="484">
        <f t="shared" si="27"/>
        <v>0</v>
      </c>
      <c r="V320" s="485"/>
      <c r="W320" s="486"/>
      <c r="X320" s="485"/>
      <c r="Y320" s="486"/>
      <c r="Z320" s="485"/>
      <c r="AA320" s="485"/>
      <c r="AB320" s="485"/>
      <c r="AC320" s="486"/>
      <c r="AD320" s="486"/>
      <c r="AE320" s="486"/>
      <c r="AF320" s="485"/>
      <c r="AG320" s="486"/>
    </row>
    <row r="321" spans="1:33">
      <c r="A321" s="84" t="s">
        <v>337</v>
      </c>
      <c r="B321" s="89" t="s">
        <v>356</v>
      </c>
      <c r="C321" s="86"/>
      <c r="D321" s="88">
        <v>198011</v>
      </c>
      <c r="E321" s="88">
        <v>10</v>
      </c>
      <c r="F321" s="483">
        <f t="shared" si="24"/>
        <v>24794</v>
      </c>
      <c r="G321" s="484">
        <f t="shared" si="25"/>
        <v>26414</v>
      </c>
      <c r="H321" s="485">
        <v>9130</v>
      </c>
      <c r="I321" s="486">
        <v>9902</v>
      </c>
      <c r="J321" s="485">
        <v>764</v>
      </c>
      <c r="K321" s="486">
        <v>440</v>
      </c>
      <c r="L321" s="485">
        <v>13552</v>
      </c>
      <c r="M321" s="485">
        <v>1321</v>
      </c>
      <c r="N321" s="485">
        <v>27</v>
      </c>
      <c r="O321" s="486">
        <v>14724</v>
      </c>
      <c r="P321" s="486">
        <v>1348</v>
      </c>
      <c r="Q321" s="486">
        <v>0</v>
      </c>
      <c r="R321" s="485"/>
      <c r="S321" s="486"/>
      <c r="T321" s="483">
        <f t="shared" si="26"/>
        <v>0</v>
      </c>
      <c r="U321" s="484">
        <f t="shared" si="27"/>
        <v>0</v>
      </c>
      <c r="V321" s="485"/>
      <c r="W321" s="486"/>
      <c r="X321" s="485"/>
      <c r="Y321" s="486"/>
      <c r="Z321" s="485"/>
      <c r="AA321" s="485"/>
      <c r="AB321" s="485"/>
      <c r="AC321" s="486"/>
      <c r="AD321" s="486"/>
      <c r="AE321" s="486"/>
      <c r="AF321" s="485"/>
      <c r="AG321" s="486"/>
    </row>
    <row r="322" spans="1:33">
      <c r="A322" s="84" t="s">
        <v>337</v>
      </c>
      <c r="B322" s="89" t="s">
        <v>357</v>
      </c>
      <c r="C322" s="86"/>
      <c r="D322" s="88">
        <v>198039</v>
      </c>
      <c r="E322" s="88">
        <v>10</v>
      </c>
      <c r="F322" s="483">
        <f t="shared" si="24"/>
        <v>39713</v>
      </c>
      <c r="G322" s="484">
        <f t="shared" si="25"/>
        <v>40650</v>
      </c>
      <c r="H322" s="485">
        <v>15929</v>
      </c>
      <c r="I322" s="486">
        <v>15145</v>
      </c>
      <c r="J322" s="485">
        <v>2144</v>
      </c>
      <c r="K322" s="486">
        <v>2474</v>
      </c>
      <c r="L322" s="485">
        <v>21640</v>
      </c>
      <c r="M322" s="485">
        <v>0</v>
      </c>
      <c r="N322" s="485">
        <v>0</v>
      </c>
      <c r="O322" s="486">
        <v>23031</v>
      </c>
      <c r="P322" s="486">
        <v>0</v>
      </c>
      <c r="Q322" s="486">
        <v>0</v>
      </c>
      <c r="R322" s="485"/>
      <c r="S322" s="486"/>
      <c r="T322" s="483">
        <f t="shared" si="26"/>
        <v>0</v>
      </c>
      <c r="U322" s="484">
        <f t="shared" si="27"/>
        <v>0</v>
      </c>
      <c r="V322" s="485"/>
      <c r="W322" s="486"/>
      <c r="X322" s="485"/>
      <c r="Y322" s="486"/>
      <c r="Z322" s="485"/>
      <c r="AA322" s="485"/>
      <c r="AB322" s="485"/>
      <c r="AC322" s="486"/>
      <c r="AD322" s="486"/>
      <c r="AE322" s="486"/>
      <c r="AF322" s="485"/>
      <c r="AG322" s="486"/>
    </row>
    <row r="323" spans="1:33">
      <c r="A323" s="84" t="s">
        <v>337</v>
      </c>
      <c r="B323" s="89" t="s">
        <v>358</v>
      </c>
      <c r="C323" s="86"/>
      <c r="D323" s="88">
        <v>198084</v>
      </c>
      <c r="E323" s="88">
        <v>10</v>
      </c>
      <c r="F323" s="483">
        <f t="shared" si="24"/>
        <v>30364</v>
      </c>
      <c r="G323" s="484">
        <f t="shared" si="25"/>
        <v>30000</v>
      </c>
      <c r="H323" s="485">
        <v>16625</v>
      </c>
      <c r="I323" s="486">
        <v>16140</v>
      </c>
      <c r="J323" s="485">
        <v>166</v>
      </c>
      <c r="K323" s="486">
        <v>93</v>
      </c>
      <c r="L323" s="485">
        <v>13573</v>
      </c>
      <c r="M323" s="485">
        <v>0</v>
      </c>
      <c r="N323" s="485">
        <v>0</v>
      </c>
      <c r="O323" s="486">
        <v>13767</v>
      </c>
      <c r="P323" s="486">
        <v>0</v>
      </c>
      <c r="Q323" s="486">
        <v>0</v>
      </c>
      <c r="R323" s="485"/>
      <c r="S323" s="486"/>
      <c r="T323" s="483">
        <f t="shared" si="26"/>
        <v>0</v>
      </c>
      <c r="U323" s="484">
        <f t="shared" si="27"/>
        <v>0</v>
      </c>
      <c r="V323" s="485"/>
      <c r="W323" s="486"/>
      <c r="X323" s="485"/>
      <c r="Y323" s="486"/>
      <c r="Z323" s="485"/>
      <c r="AA323" s="485"/>
      <c r="AB323" s="485"/>
      <c r="AC323" s="486"/>
      <c r="AD323" s="486"/>
      <c r="AE323" s="486"/>
      <c r="AF323" s="485"/>
      <c r="AG323" s="486"/>
    </row>
    <row r="324" spans="1:33">
      <c r="A324" s="84" t="s">
        <v>337</v>
      </c>
      <c r="B324" s="89" t="s">
        <v>361</v>
      </c>
      <c r="C324" s="86"/>
      <c r="D324" s="88">
        <v>198206</v>
      </c>
      <c r="E324" s="88">
        <v>10</v>
      </c>
      <c r="F324" s="483">
        <f t="shared" si="24"/>
        <v>31787</v>
      </c>
      <c r="G324" s="484">
        <f t="shared" si="25"/>
        <v>30359</v>
      </c>
      <c r="H324" s="485">
        <v>16627</v>
      </c>
      <c r="I324" s="486">
        <v>14502</v>
      </c>
      <c r="J324" s="485">
        <v>1179</v>
      </c>
      <c r="K324" s="486">
        <v>1254</v>
      </c>
      <c r="L324" s="485">
        <v>13981</v>
      </c>
      <c r="M324" s="485">
        <v>0</v>
      </c>
      <c r="N324" s="485">
        <v>0</v>
      </c>
      <c r="O324" s="486">
        <v>14519</v>
      </c>
      <c r="P324" s="486">
        <v>84</v>
      </c>
      <c r="Q324" s="486">
        <v>0</v>
      </c>
      <c r="R324" s="485"/>
      <c r="S324" s="486"/>
      <c r="T324" s="483">
        <f t="shared" si="26"/>
        <v>0</v>
      </c>
      <c r="U324" s="484">
        <f t="shared" si="27"/>
        <v>0</v>
      </c>
      <c r="V324" s="485"/>
      <c r="W324" s="486"/>
      <c r="X324" s="485"/>
      <c r="Y324" s="486"/>
      <c r="Z324" s="485"/>
      <c r="AA324" s="485"/>
      <c r="AB324" s="485"/>
      <c r="AC324" s="486"/>
      <c r="AD324" s="486"/>
      <c r="AE324" s="486"/>
      <c r="AF324" s="485"/>
      <c r="AG324" s="486"/>
    </row>
    <row r="325" spans="1:33">
      <c r="A325" s="84" t="s">
        <v>337</v>
      </c>
      <c r="B325" s="89" t="s">
        <v>367</v>
      </c>
      <c r="C325" s="86"/>
      <c r="D325" s="88">
        <v>197814</v>
      </c>
      <c r="E325" s="88">
        <v>10</v>
      </c>
      <c r="F325" s="483">
        <f t="shared" si="24"/>
        <v>48503</v>
      </c>
      <c r="G325" s="484">
        <f t="shared" si="25"/>
        <v>50368</v>
      </c>
      <c r="H325" s="485">
        <v>18600</v>
      </c>
      <c r="I325" s="486">
        <v>18536</v>
      </c>
      <c r="J325" s="485">
        <v>722</v>
      </c>
      <c r="K325" s="486">
        <v>756</v>
      </c>
      <c r="L325" s="485">
        <v>29040</v>
      </c>
      <c r="M325" s="485">
        <v>141</v>
      </c>
      <c r="N325" s="485">
        <v>0</v>
      </c>
      <c r="O325" s="486">
        <v>30621</v>
      </c>
      <c r="P325" s="486">
        <v>455</v>
      </c>
      <c r="Q325" s="486">
        <v>0</v>
      </c>
      <c r="R325" s="485"/>
      <c r="S325" s="486"/>
      <c r="T325" s="483">
        <f t="shared" si="26"/>
        <v>0</v>
      </c>
      <c r="U325" s="484">
        <f t="shared" si="27"/>
        <v>0</v>
      </c>
      <c r="V325" s="485"/>
      <c r="W325" s="486"/>
      <c r="X325" s="485"/>
      <c r="Y325" s="486"/>
      <c r="Z325" s="485"/>
      <c r="AA325" s="485"/>
      <c r="AB325" s="485"/>
      <c r="AC325" s="486"/>
      <c r="AD325" s="486"/>
      <c r="AE325" s="486"/>
      <c r="AF325" s="485"/>
      <c r="AG325" s="486"/>
    </row>
    <row r="326" spans="1:33">
      <c r="A326" s="84" t="s">
        <v>337</v>
      </c>
      <c r="B326" s="89" t="s">
        <v>376</v>
      </c>
      <c r="C326" s="86"/>
      <c r="D326" s="88">
        <v>198640</v>
      </c>
      <c r="E326" s="88">
        <v>10</v>
      </c>
      <c r="F326" s="483">
        <f t="shared" si="24"/>
        <v>22861</v>
      </c>
      <c r="G326" s="484">
        <f t="shared" si="25"/>
        <v>19487</v>
      </c>
      <c r="H326" s="485">
        <v>8471</v>
      </c>
      <c r="I326" s="486">
        <v>6460</v>
      </c>
      <c r="J326" s="485">
        <v>2546</v>
      </c>
      <c r="K326" s="486">
        <v>2176</v>
      </c>
      <c r="L326" s="485">
        <v>11610</v>
      </c>
      <c r="M326" s="485">
        <v>234</v>
      </c>
      <c r="N326" s="485">
        <v>0</v>
      </c>
      <c r="O326" s="486">
        <v>10782</v>
      </c>
      <c r="P326" s="486">
        <v>69</v>
      </c>
      <c r="Q326" s="486">
        <v>0</v>
      </c>
      <c r="R326" s="485"/>
      <c r="S326" s="486"/>
      <c r="T326" s="483">
        <f t="shared" si="26"/>
        <v>0</v>
      </c>
      <c r="U326" s="484">
        <f t="shared" si="27"/>
        <v>0</v>
      </c>
      <c r="V326" s="485"/>
      <c r="W326" s="486"/>
      <c r="X326" s="485"/>
      <c r="Y326" s="486"/>
      <c r="Z326" s="485"/>
      <c r="AA326" s="485"/>
      <c r="AB326" s="485"/>
      <c r="AC326" s="486"/>
      <c r="AD326" s="486"/>
      <c r="AE326" s="486"/>
      <c r="AF326" s="485"/>
      <c r="AG326" s="486"/>
    </row>
    <row r="327" spans="1:33">
      <c r="A327" s="84" t="s">
        <v>337</v>
      </c>
      <c r="B327" s="89" t="s">
        <v>377</v>
      </c>
      <c r="C327" s="90"/>
      <c r="D327" s="88">
        <v>198668</v>
      </c>
      <c r="E327" s="88">
        <v>10</v>
      </c>
      <c r="F327" s="483">
        <f t="shared" si="24"/>
        <v>31145</v>
      </c>
      <c r="G327" s="484">
        <f t="shared" si="25"/>
        <v>29095</v>
      </c>
      <c r="H327" s="485">
        <v>14727</v>
      </c>
      <c r="I327" s="486">
        <v>13924</v>
      </c>
      <c r="J327" s="485">
        <v>858</v>
      </c>
      <c r="K327" s="486">
        <v>1200</v>
      </c>
      <c r="L327" s="485">
        <v>15560</v>
      </c>
      <c r="M327" s="485">
        <v>0</v>
      </c>
      <c r="N327" s="485">
        <v>0</v>
      </c>
      <c r="O327" s="486">
        <v>13971</v>
      </c>
      <c r="P327" s="486">
        <v>0</v>
      </c>
      <c r="Q327" s="486">
        <v>0</v>
      </c>
      <c r="R327" s="485"/>
      <c r="S327" s="486"/>
      <c r="T327" s="483">
        <f t="shared" si="26"/>
        <v>0</v>
      </c>
      <c r="U327" s="484">
        <f t="shared" si="27"/>
        <v>0</v>
      </c>
      <c r="V327" s="485"/>
      <c r="W327" s="486"/>
      <c r="X327" s="485"/>
      <c r="Y327" s="486"/>
      <c r="Z327" s="485"/>
      <c r="AA327" s="485"/>
      <c r="AB327" s="485"/>
      <c r="AC327" s="486"/>
      <c r="AD327" s="486"/>
      <c r="AE327" s="486"/>
      <c r="AF327" s="485"/>
      <c r="AG327" s="486"/>
    </row>
    <row r="328" spans="1:33">
      <c r="A328" s="84" t="s">
        <v>337</v>
      </c>
      <c r="B328" s="89" t="s">
        <v>378</v>
      </c>
      <c r="C328" s="90"/>
      <c r="D328" s="88">
        <v>198710</v>
      </c>
      <c r="E328" s="88">
        <v>10</v>
      </c>
      <c r="F328" s="483">
        <f t="shared" si="24"/>
        <v>41350</v>
      </c>
      <c r="G328" s="484">
        <f t="shared" si="25"/>
        <v>42760</v>
      </c>
      <c r="H328" s="485">
        <v>17398</v>
      </c>
      <c r="I328" s="486">
        <v>15276</v>
      </c>
      <c r="J328" s="485">
        <v>4397</v>
      </c>
      <c r="K328" s="486">
        <v>4313</v>
      </c>
      <c r="L328" s="485">
        <v>19555</v>
      </c>
      <c r="M328" s="485">
        <v>0</v>
      </c>
      <c r="N328" s="485">
        <v>0</v>
      </c>
      <c r="O328" s="486">
        <v>23171</v>
      </c>
      <c r="P328" s="486">
        <v>0</v>
      </c>
      <c r="Q328" s="486">
        <v>0</v>
      </c>
      <c r="R328" s="485"/>
      <c r="S328" s="486"/>
      <c r="T328" s="483">
        <f t="shared" si="26"/>
        <v>0</v>
      </c>
      <c r="U328" s="484">
        <f t="shared" si="27"/>
        <v>0</v>
      </c>
      <c r="V328" s="485"/>
      <c r="W328" s="486"/>
      <c r="X328" s="485"/>
      <c r="Y328" s="486"/>
      <c r="Z328" s="485"/>
      <c r="AA328" s="485"/>
      <c r="AB328" s="485"/>
      <c r="AC328" s="486"/>
      <c r="AD328" s="486"/>
      <c r="AE328" s="486"/>
      <c r="AF328" s="485"/>
      <c r="AG328" s="486"/>
    </row>
    <row r="329" spans="1:33">
      <c r="A329" s="84" t="s">
        <v>337</v>
      </c>
      <c r="B329" s="89" t="s">
        <v>379</v>
      </c>
      <c r="C329" s="86"/>
      <c r="D329" s="88">
        <v>198729</v>
      </c>
      <c r="E329" s="88">
        <v>10</v>
      </c>
      <c r="F329" s="483">
        <f t="shared" si="24"/>
        <v>24878</v>
      </c>
      <c r="G329" s="484">
        <f t="shared" si="25"/>
        <v>24765</v>
      </c>
      <c r="H329" s="485">
        <v>12162</v>
      </c>
      <c r="I329" s="486">
        <v>10013</v>
      </c>
      <c r="J329" s="485">
        <v>627</v>
      </c>
      <c r="K329" s="486">
        <v>952</v>
      </c>
      <c r="L329" s="485">
        <v>11342</v>
      </c>
      <c r="M329" s="485">
        <v>747</v>
      </c>
      <c r="N329" s="485">
        <v>0</v>
      </c>
      <c r="O329" s="486">
        <v>12882</v>
      </c>
      <c r="P329" s="486">
        <v>918</v>
      </c>
      <c r="Q329" s="486">
        <v>0</v>
      </c>
      <c r="R329" s="485"/>
      <c r="S329" s="486"/>
      <c r="T329" s="483">
        <f t="shared" si="26"/>
        <v>0</v>
      </c>
      <c r="U329" s="484">
        <f t="shared" si="27"/>
        <v>0</v>
      </c>
      <c r="V329" s="485"/>
      <c r="W329" s="486"/>
      <c r="X329" s="485"/>
      <c r="Y329" s="486"/>
      <c r="Z329" s="485"/>
      <c r="AA329" s="485"/>
      <c r="AB329" s="485"/>
      <c r="AC329" s="486"/>
      <c r="AD329" s="486"/>
      <c r="AE329" s="486"/>
      <c r="AF329" s="485"/>
      <c r="AG329" s="486"/>
    </row>
    <row r="330" spans="1:33">
      <c r="A330" s="84" t="s">
        <v>337</v>
      </c>
      <c r="B330" s="89" t="s">
        <v>382</v>
      </c>
      <c r="C330" s="86"/>
      <c r="D330" s="88">
        <v>198905</v>
      </c>
      <c r="E330" s="88">
        <v>10</v>
      </c>
      <c r="F330" s="483">
        <f t="shared" si="24"/>
        <v>15807.3</v>
      </c>
      <c r="G330" s="484">
        <f t="shared" si="25"/>
        <v>15244.5</v>
      </c>
      <c r="H330" s="485">
        <v>6097.3</v>
      </c>
      <c r="I330" s="486">
        <v>5202.5</v>
      </c>
      <c r="J330" s="485">
        <v>368</v>
      </c>
      <c r="K330" s="486">
        <v>271</v>
      </c>
      <c r="L330" s="485">
        <v>9342</v>
      </c>
      <c r="M330" s="485">
        <v>0</v>
      </c>
      <c r="N330" s="485">
        <v>0</v>
      </c>
      <c r="O330" s="486">
        <v>9771</v>
      </c>
      <c r="P330" s="486">
        <v>0</v>
      </c>
      <c r="Q330" s="486">
        <v>0</v>
      </c>
      <c r="R330" s="485"/>
      <c r="S330" s="486"/>
      <c r="T330" s="483">
        <f t="shared" si="26"/>
        <v>0</v>
      </c>
      <c r="U330" s="484">
        <f t="shared" si="27"/>
        <v>0</v>
      </c>
      <c r="V330" s="485"/>
      <c r="W330" s="486"/>
      <c r="X330" s="485"/>
      <c r="Y330" s="486"/>
      <c r="Z330" s="485"/>
      <c r="AA330" s="485"/>
      <c r="AB330" s="485"/>
      <c r="AC330" s="486"/>
      <c r="AD330" s="486"/>
      <c r="AE330" s="486"/>
      <c r="AF330" s="485"/>
      <c r="AG330" s="486"/>
    </row>
    <row r="331" spans="1:33">
      <c r="A331" s="84" t="s">
        <v>337</v>
      </c>
      <c r="B331" s="89" t="s">
        <v>383</v>
      </c>
      <c r="C331" s="86"/>
      <c r="D331" s="88">
        <v>198914</v>
      </c>
      <c r="E331" s="88">
        <v>10</v>
      </c>
      <c r="F331" s="483">
        <f t="shared" si="24"/>
        <v>19431</v>
      </c>
      <c r="G331" s="484">
        <f t="shared" si="25"/>
        <v>19417</v>
      </c>
      <c r="H331" s="485">
        <v>9815</v>
      </c>
      <c r="I331" s="486">
        <v>8361</v>
      </c>
      <c r="J331" s="485">
        <v>2629</v>
      </c>
      <c r="K331" s="486">
        <v>3042</v>
      </c>
      <c r="L331" s="485">
        <v>6963</v>
      </c>
      <c r="M331" s="485">
        <v>0</v>
      </c>
      <c r="N331" s="485">
        <v>24</v>
      </c>
      <c r="O331" s="486">
        <v>7918</v>
      </c>
      <c r="P331" s="486">
        <v>0</v>
      </c>
      <c r="Q331" s="486">
        <v>96</v>
      </c>
      <c r="R331" s="485"/>
      <c r="S331" s="486"/>
      <c r="T331" s="483">
        <f t="shared" si="26"/>
        <v>0</v>
      </c>
      <c r="U331" s="484">
        <f t="shared" si="27"/>
        <v>0</v>
      </c>
      <c r="V331" s="485"/>
      <c r="W331" s="486"/>
      <c r="X331" s="485"/>
      <c r="Y331" s="486"/>
      <c r="Z331" s="485"/>
      <c r="AA331" s="485"/>
      <c r="AB331" s="485"/>
      <c r="AC331" s="486"/>
      <c r="AD331" s="486"/>
      <c r="AE331" s="486"/>
      <c r="AF331" s="485"/>
      <c r="AG331" s="486"/>
    </row>
    <row r="332" spans="1:33">
      <c r="A332" s="84" t="s">
        <v>337</v>
      </c>
      <c r="B332" s="89" t="s">
        <v>384</v>
      </c>
      <c r="C332" s="86"/>
      <c r="D332" s="88">
        <v>198923</v>
      </c>
      <c r="E332" s="88">
        <v>10</v>
      </c>
      <c r="F332" s="483">
        <f t="shared" si="24"/>
        <v>20768</v>
      </c>
      <c r="G332" s="484">
        <f t="shared" si="25"/>
        <v>21100</v>
      </c>
      <c r="H332" s="485">
        <v>11124</v>
      </c>
      <c r="I332" s="486">
        <v>11468</v>
      </c>
      <c r="J332" s="485">
        <v>265</v>
      </c>
      <c r="K332" s="486">
        <v>130</v>
      </c>
      <c r="L332" s="485">
        <v>9346</v>
      </c>
      <c r="M332" s="485">
        <v>33</v>
      </c>
      <c r="N332" s="485">
        <v>0</v>
      </c>
      <c r="O332" s="486">
        <v>9460</v>
      </c>
      <c r="P332" s="486">
        <v>42</v>
      </c>
      <c r="Q332" s="486">
        <v>0</v>
      </c>
      <c r="R332" s="485"/>
      <c r="S332" s="486"/>
      <c r="T332" s="483">
        <f t="shared" si="26"/>
        <v>0</v>
      </c>
      <c r="U332" s="484">
        <f t="shared" si="27"/>
        <v>0</v>
      </c>
      <c r="V332" s="485"/>
      <c r="W332" s="486"/>
      <c r="X332" s="485"/>
      <c r="Y332" s="486"/>
      <c r="Z332" s="485"/>
      <c r="AA332" s="485"/>
      <c r="AB332" s="485"/>
      <c r="AC332" s="486"/>
      <c r="AD332" s="486"/>
      <c r="AE332" s="486"/>
      <c r="AF332" s="485"/>
      <c r="AG332" s="486"/>
    </row>
    <row r="333" spans="1:33">
      <c r="A333" s="84" t="s">
        <v>337</v>
      </c>
      <c r="B333" s="89" t="s">
        <v>386</v>
      </c>
      <c r="C333" s="86"/>
      <c r="D333" s="88">
        <v>199023</v>
      </c>
      <c r="E333" s="88">
        <v>10</v>
      </c>
      <c r="F333" s="483">
        <f t="shared" si="24"/>
        <v>16452</v>
      </c>
      <c r="G333" s="484">
        <f t="shared" si="25"/>
        <v>17699</v>
      </c>
      <c r="H333" s="485">
        <v>6864</v>
      </c>
      <c r="I333" s="486">
        <v>7683</v>
      </c>
      <c r="J333" s="485">
        <v>992</v>
      </c>
      <c r="K333" s="486">
        <v>597</v>
      </c>
      <c r="L333" s="485">
        <v>8596</v>
      </c>
      <c r="M333" s="485">
        <v>0</v>
      </c>
      <c r="N333" s="485">
        <v>0</v>
      </c>
      <c r="O333" s="486">
        <v>9419</v>
      </c>
      <c r="P333" s="486">
        <v>0</v>
      </c>
      <c r="Q333" s="486">
        <v>0</v>
      </c>
      <c r="R333" s="485"/>
      <c r="S333" s="486"/>
      <c r="T333" s="483">
        <f t="shared" si="26"/>
        <v>0</v>
      </c>
      <c r="U333" s="484">
        <f t="shared" si="27"/>
        <v>0</v>
      </c>
      <c r="V333" s="485"/>
      <c r="W333" s="486"/>
      <c r="X333" s="485"/>
      <c r="Y333" s="486"/>
      <c r="Z333" s="485"/>
      <c r="AA333" s="485"/>
      <c r="AB333" s="485"/>
      <c r="AC333" s="486"/>
      <c r="AD333" s="486"/>
      <c r="AE333" s="486"/>
      <c r="AF333" s="485"/>
      <c r="AG333" s="486"/>
    </row>
    <row r="334" spans="1:33">
      <c r="A334" s="84" t="s">
        <v>337</v>
      </c>
      <c r="B334" s="89" t="s">
        <v>388</v>
      </c>
      <c r="C334" s="86"/>
      <c r="D334" s="88">
        <v>199263</v>
      </c>
      <c r="E334" s="88">
        <v>10</v>
      </c>
      <c r="F334" s="483">
        <f t="shared" si="24"/>
        <v>10254</v>
      </c>
      <c r="G334" s="484">
        <f t="shared" si="25"/>
        <v>11567</v>
      </c>
      <c r="H334" s="485">
        <v>1091</v>
      </c>
      <c r="I334" s="486">
        <v>965</v>
      </c>
      <c r="J334" s="485">
        <v>3841</v>
      </c>
      <c r="K334" s="486">
        <v>4869</v>
      </c>
      <c r="L334" s="485">
        <v>5322</v>
      </c>
      <c r="M334" s="485">
        <v>0</v>
      </c>
      <c r="N334" s="485">
        <v>0</v>
      </c>
      <c r="O334" s="486">
        <v>5733</v>
      </c>
      <c r="P334" s="486">
        <v>0</v>
      </c>
      <c r="Q334" s="486">
        <v>0</v>
      </c>
      <c r="R334" s="485"/>
      <c r="S334" s="486"/>
      <c r="T334" s="483">
        <f t="shared" si="26"/>
        <v>0</v>
      </c>
      <c r="U334" s="484">
        <f t="shared" si="27"/>
        <v>0</v>
      </c>
      <c r="V334" s="485"/>
      <c r="W334" s="486"/>
      <c r="X334" s="485"/>
      <c r="Y334" s="486"/>
      <c r="Z334" s="485"/>
      <c r="AA334" s="485"/>
      <c r="AB334" s="485"/>
      <c r="AC334" s="486"/>
      <c r="AD334" s="486"/>
      <c r="AE334" s="486"/>
      <c r="AF334" s="485"/>
      <c r="AG334" s="486"/>
    </row>
    <row r="335" spans="1:33">
      <c r="A335" s="84" t="s">
        <v>337</v>
      </c>
      <c r="B335" s="89" t="s">
        <v>389</v>
      </c>
      <c r="C335" s="86"/>
      <c r="D335" s="88">
        <v>199324</v>
      </c>
      <c r="E335" s="88">
        <v>10</v>
      </c>
      <c r="F335" s="483">
        <f t="shared" si="24"/>
        <v>21670</v>
      </c>
      <c r="G335" s="484">
        <f t="shared" si="25"/>
        <v>20972</v>
      </c>
      <c r="H335" s="485">
        <v>10554</v>
      </c>
      <c r="I335" s="486">
        <v>8697</v>
      </c>
      <c r="J335" s="485">
        <v>987</v>
      </c>
      <c r="K335" s="486">
        <v>994</v>
      </c>
      <c r="L335" s="485">
        <v>9732</v>
      </c>
      <c r="M335" s="485">
        <v>397</v>
      </c>
      <c r="N335" s="485">
        <v>0</v>
      </c>
      <c r="O335" s="486">
        <v>10206</v>
      </c>
      <c r="P335" s="486">
        <v>1075</v>
      </c>
      <c r="Q335" s="486">
        <v>0</v>
      </c>
      <c r="R335" s="485"/>
      <c r="S335" s="486"/>
      <c r="T335" s="483">
        <f t="shared" si="26"/>
        <v>0</v>
      </c>
      <c r="U335" s="484">
        <f t="shared" si="27"/>
        <v>0</v>
      </c>
      <c r="V335" s="485"/>
      <c r="W335" s="486"/>
      <c r="X335" s="485"/>
      <c r="Y335" s="486"/>
      <c r="Z335" s="485"/>
      <c r="AA335" s="485"/>
      <c r="AB335" s="485"/>
      <c r="AC335" s="486"/>
      <c r="AD335" s="486"/>
      <c r="AE335" s="486"/>
      <c r="AF335" s="485"/>
      <c r="AG335" s="486"/>
    </row>
    <row r="336" spans="1:33">
      <c r="A336" s="84" t="s">
        <v>337</v>
      </c>
      <c r="B336" s="89" t="s">
        <v>393</v>
      </c>
      <c r="C336" s="86"/>
      <c r="D336" s="88">
        <v>199467</v>
      </c>
      <c r="E336" s="88">
        <v>10</v>
      </c>
      <c r="F336" s="483">
        <f t="shared" si="24"/>
        <v>14374</v>
      </c>
      <c r="G336" s="484">
        <f t="shared" si="25"/>
        <v>14063</v>
      </c>
      <c r="H336" s="485">
        <v>5596</v>
      </c>
      <c r="I336" s="486">
        <v>4912</v>
      </c>
      <c r="J336" s="485">
        <v>314</v>
      </c>
      <c r="K336" s="486">
        <v>528</v>
      </c>
      <c r="L336" s="485">
        <v>8348</v>
      </c>
      <c r="M336" s="485">
        <v>116</v>
      </c>
      <c r="N336" s="485">
        <v>0</v>
      </c>
      <c r="O336" s="486">
        <v>8576</v>
      </c>
      <c r="P336" s="486">
        <v>47</v>
      </c>
      <c r="Q336" s="486">
        <v>0</v>
      </c>
      <c r="R336" s="485"/>
      <c r="S336" s="486"/>
      <c r="T336" s="483">
        <f t="shared" si="26"/>
        <v>0</v>
      </c>
      <c r="U336" s="484">
        <f t="shared" si="27"/>
        <v>0</v>
      </c>
      <c r="V336" s="485"/>
      <c r="W336" s="486"/>
      <c r="X336" s="485"/>
      <c r="Y336" s="486"/>
      <c r="Z336" s="485"/>
      <c r="AA336" s="485"/>
      <c r="AB336" s="485"/>
      <c r="AC336" s="486"/>
      <c r="AD336" s="486"/>
      <c r="AE336" s="486"/>
      <c r="AF336" s="485"/>
      <c r="AG336" s="486"/>
    </row>
    <row r="337" spans="1:33">
      <c r="A337" s="84" t="s">
        <v>337</v>
      </c>
      <c r="B337" s="89" t="s">
        <v>395</v>
      </c>
      <c r="C337" s="130"/>
      <c r="D337" s="88">
        <v>199485</v>
      </c>
      <c r="E337" s="88">
        <v>10</v>
      </c>
      <c r="F337" s="483">
        <f t="shared" si="24"/>
        <v>36180</v>
      </c>
      <c r="G337" s="484">
        <f t="shared" si="25"/>
        <v>35128</v>
      </c>
      <c r="H337" s="485">
        <v>26925</v>
      </c>
      <c r="I337" s="486">
        <v>22277</v>
      </c>
      <c r="J337" s="485">
        <v>79</v>
      </c>
      <c r="K337" s="486">
        <v>10</v>
      </c>
      <c r="L337" s="485">
        <v>9002</v>
      </c>
      <c r="M337" s="485">
        <v>154</v>
      </c>
      <c r="N337" s="485">
        <v>20</v>
      </c>
      <c r="O337" s="486">
        <v>12585</v>
      </c>
      <c r="P337" s="486">
        <v>256</v>
      </c>
      <c r="Q337" s="486">
        <v>0</v>
      </c>
      <c r="R337" s="485"/>
      <c r="S337" s="486"/>
      <c r="T337" s="483">
        <f t="shared" si="26"/>
        <v>0</v>
      </c>
      <c r="U337" s="484">
        <f t="shared" si="27"/>
        <v>0</v>
      </c>
      <c r="V337" s="485"/>
      <c r="W337" s="486"/>
      <c r="X337" s="485"/>
      <c r="Y337" s="486"/>
      <c r="Z337" s="485"/>
      <c r="AA337" s="485"/>
      <c r="AB337" s="485"/>
      <c r="AC337" s="486"/>
      <c r="AD337" s="486"/>
      <c r="AE337" s="486"/>
      <c r="AF337" s="485"/>
      <c r="AG337" s="486"/>
    </row>
    <row r="338" spans="1:33">
      <c r="A338" s="84" t="s">
        <v>337</v>
      </c>
      <c r="B338" s="89" t="s">
        <v>397</v>
      </c>
      <c r="C338" s="130"/>
      <c r="D338" s="88">
        <v>199625</v>
      </c>
      <c r="E338" s="88">
        <v>10</v>
      </c>
      <c r="F338" s="483">
        <f t="shared" si="24"/>
        <v>29717</v>
      </c>
      <c r="G338" s="484">
        <f t="shared" si="25"/>
        <v>33951</v>
      </c>
      <c r="H338" s="485">
        <v>13893</v>
      </c>
      <c r="I338" s="486">
        <v>12828</v>
      </c>
      <c r="J338" s="485">
        <v>498</v>
      </c>
      <c r="K338" s="486">
        <v>76</v>
      </c>
      <c r="L338" s="485">
        <v>15326</v>
      </c>
      <c r="M338" s="485">
        <v>0</v>
      </c>
      <c r="N338" s="485">
        <v>0</v>
      </c>
      <c r="O338" s="486">
        <v>21047</v>
      </c>
      <c r="P338" s="486">
        <v>0</v>
      </c>
      <c r="Q338" s="486">
        <v>0</v>
      </c>
      <c r="R338" s="485"/>
      <c r="S338" s="486"/>
      <c r="T338" s="483">
        <f t="shared" si="26"/>
        <v>0</v>
      </c>
      <c r="U338" s="484">
        <f t="shared" si="27"/>
        <v>0</v>
      </c>
      <c r="V338" s="485"/>
      <c r="W338" s="486"/>
      <c r="X338" s="485"/>
      <c r="Y338" s="486"/>
      <c r="Z338" s="485"/>
      <c r="AA338" s="485"/>
      <c r="AB338" s="485"/>
      <c r="AC338" s="486"/>
      <c r="AD338" s="486"/>
      <c r="AE338" s="486"/>
      <c r="AF338" s="485"/>
      <c r="AG338" s="486"/>
    </row>
    <row r="339" spans="1:33">
      <c r="A339" s="84" t="s">
        <v>337</v>
      </c>
      <c r="B339" s="89" t="s">
        <v>399</v>
      </c>
      <c r="C339" s="131" t="s">
        <v>973</v>
      </c>
      <c r="D339" s="88">
        <v>197850</v>
      </c>
      <c r="E339" s="132">
        <v>9</v>
      </c>
      <c r="F339" s="483">
        <f t="shared" si="24"/>
        <v>47555</v>
      </c>
      <c r="G339" s="484">
        <f t="shared" si="25"/>
        <v>46574</v>
      </c>
      <c r="H339" s="485">
        <v>14696</v>
      </c>
      <c r="I339" s="486">
        <v>14701</v>
      </c>
      <c r="J339" s="485">
        <v>1347</v>
      </c>
      <c r="K339" s="486">
        <v>1334</v>
      </c>
      <c r="L339" s="485">
        <v>31512</v>
      </c>
      <c r="M339" s="485">
        <v>0</v>
      </c>
      <c r="N339" s="485">
        <v>0</v>
      </c>
      <c r="O339" s="486">
        <v>30539</v>
      </c>
      <c r="P339" s="486">
        <v>0</v>
      </c>
      <c r="Q339" s="486">
        <v>0</v>
      </c>
      <c r="R339" s="485"/>
      <c r="S339" s="486"/>
      <c r="T339" s="483">
        <f t="shared" si="26"/>
        <v>0</v>
      </c>
      <c r="U339" s="484">
        <f t="shared" si="27"/>
        <v>0</v>
      </c>
      <c r="V339" s="485"/>
      <c r="W339" s="486"/>
      <c r="X339" s="485"/>
      <c r="Y339" s="486"/>
      <c r="Z339" s="485"/>
      <c r="AA339" s="485"/>
      <c r="AB339" s="485"/>
      <c r="AC339" s="486"/>
      <c r="AD339" s="486"/>
      <c r="AE339" s="486"/>
      <c r="AF339" s="485"/>
      <c r="AG339" s="486"/>
    </row>
    <row r="340" spans="1:33">
      <c r="A340" s="84" t="s">
        <v>337</v>
      </c>
      <c r="B340" s="89" t="s">
        <v>400</v>
      </c>
      <c r="C340" s="130"/>
      <c r="D340" s="88">
        <v>199722</v>
      </c>
      <c r="E340" s="88">
        <v>10</v>
      </c>
      <c r="F340" s="483">
        <f t="shared" si="24"/>
        <v>30148</v>
      </c>
      <c r="G340" s="484">
        <f t="shared" si="25"/>
        <v>29839</v>
      </c>
      <c r="H340" s="485">
        <v>14278</v>
      </c>
      <c r="I340" s="486">
        <v>13132</v>
      </c>
      <c r="J340" s="485">
        <v>363</v>
      </c>
      <c r="K340" s="486">
        <v>564</v>
      </c>
      <c r="L340" s="485">
        <v>15277</v>
      </c>
      <c r="M340" s="485">
        <v>230</v>
      </c>
      <c r="N340" s="485">
        <v>0</v>
      </c>
      <c r="O340" s="486">
        <v>15972</v>
      </c>
      <c r="P340" s="486">
        <v>171</v>
      </c>
      <c r="Q340" s="486">
        <v>0</v>
      </c>
      <c r="R340" s="485"/>
      <c r="S340" s="486"/>
      <c r="T340" s="483">
        <f t="shared" si="26"/>
        <v>0</v>
      </c>
      <c r="U340" s="484">
        <f t="shared" si="27"/>
        <v>0</v>
      </c>
      <c r="V340" s="485"/>
      <c r="W340" s="486"/>
      <c r="X340" s="485"/>
      <c r="Y340" s="486"/>
      <c r="Z340" s="485"/>
      <c r="AA340" s="485"/>
      <c r="AB340" s="485"/>
      <c r="AC340" s="486"/>
      <c r="AD340" s="486"/>
      <c r="AE340" s="486"/>
      <c r="AF340" s="485"/>
      <c r="AG340" s="486"/>
    </row>
    <row r="341" spans="1:33">
      <c r="A341" s="84" t="s">
        <v>337</v>
      </c>
      <c r="B341" s="89" t="s">
        <v>401</v>
      </c>
      <c r="C341" s="130"/>
      <c r="D341" s="88">
        <v>199731</v>
      </c>
      <c r="E341" s="88">
        <v>10</v>
      </c>
      <c r="F341" s="483">
        <f t="shared" si="24"/>
        <v>48341</v>
      </c>
      <c r="G341" s="484">
        <f t="shared" si="25"/>
        <v>47094</v>
      </c>
      <c r="H341" s="485">
        <v>25804</v>
      </c>
      <c r="I341" s="486">
        <v>26916</v>
      </c>
      <c r="J341" s="485">
        <v>3425</v>
      </c>
      <c r="K341" s="486">
        <v>1489</v>
      </c>
      <c r="L341" s="485">
        <v>19008</v>
      </c>
      <c r="M341" s="485">
        <v>104</v>
      </c>
      <c r="N341" s="485">
        <v>0</v>
      </c>
      <c r="O341" s="486">
        <v>18609</v>
      </c>
      <c r="P341" s="486">
        <v>80</v>
      </c>
      <c r="Q341" s="486">
        <v>0</v>
      </c>
      <c r="R341" s="485"/>
      <c r="S341" s="486"/>
      <c r="T341" s="483">
        <f t="shared" si="26"/>
        <v>0</v>
      </c>
      <c r="U341" s="484">
        <f t="shared" si="27"/>
        <v>0</v>
      </c>
      <c r="V341" s="485"/>
      <c r="W341" s="486"/>
      <c r="X341" s="485"/>
      <c r="Y341" s="486"/>
      <c r="Z341" s="485"/>
      <c r="AA341" s="485"/>
      <c r="AB341" s="485"/>
      <c r="AC341" s="486"/>
      <c r="AD341" s="486"/>
      <c r="AE341" s="486"/>
      <c r="AF341" s="485"/>
      <c r="AG341" s="486"/>
    </row>
    <row r="342" spans="1:33">
      <c r="A342" s="84" t="s">
        <v>337</v>
      </c>
      <c r="B342" s="89" t="s">
        <v>404</v>
      </c>
      <c r="C342" s="130"/>
      <c r="D342" s="88">
        <v>199795</v>
      </c>
      <c r="E342" s="88">
        <v>10</v>
      </c>
      <c r="F342" s="483">
        <f t="shared" si="24"/>
        <v>21799</v>
      </c>
      <c r="G342" s="484">
        <f t="shared" si="25"/>
        <v>21178</v>
      </c>
      <c r="H342" s="485">
        <v>6486</v>
      </c>
      <c r="I342" s="486">
        <v>6195</v>
      </c>
      <c r="J342" s="485">
        <v>1013</v>
      </c>
      <c r="K342" s="486">
        <v>1369</v>
      </c>
      <c r="L342" s="485">
        <v>14251</v>
      </c>
      <c r="M342" s="485">
        <v>49</v>
      </c>
      <c r="N342" s="485">
        <v>0</v>
      </c>
      <c r="O342" s="486">
        <v>13569</v>
      </c>
      <c r="P342" s="486">
        <v>45</v>
      </c>
      <c r="Q342" s="486">
        <v>0</v>
      </c>
      <c r="R342" s="485"/>
      <c r="S342" s="486"/>
      <c r="T342" s="483">
        <f t="shared" si="26"/>
        <v>0</v>
      </c>
      <c r="U342" s="484">
        <f t="shared" si="27"/>
        <v>0</v>
      </c>
      <c r="V342" s="485"/>
      <c r="W342" s="486"/>
      <c r="X342" s="485"/>
      <c r="Y342" s="486"/>
      <c r="Z342" s="485"/>
      <c r="AA342" s="485"/>
      <c r="AB342" s="485"/>
      <c r="AC342" s="486"/>
      <c r="AD342" s="486"/>
      <c r="AE342" s="486"/>
      <c r="AF342" s="485"/>
      <c r="AG342" s="486"/>
    </row>
    <row r="343" spans="1:33">
      <c r="A343" s="84" t="s">
        <v>337</v>
      </c>
      <c r="B343" s="89" t="s">
        <v>408</v>
      </c>
      <c r="C343" s="131"/>
      <c r="D343" s="88">
        <v>199908</v>
      </c>
      <c r="E343" s="88">
        <v>10</v>
      </c>
      <c r="F343" s="483">
        <f t="shared" si="24"/>
        <v>39699</v>
      </c>
      <c r="G343" s="484">
        <f t="shared" si="25"/>
        <v>37769</v>
      </c>
      <c r="H343" s="485">
        <v>23080</v>
      </c>
      <c r="I343" s="486">
        <v>22497</v>
      </c>
      <c r="J343" s="485">
        <v>1762</v>
      </c>
      <c r="K343" s="486">
        <v>1377</v>
      </c>
      <c r="L343" s="485">
        <v>14857</v>
      </c>
      <c r="M343" s="485">
        <v>0</v>
      </c>
      <c r="N343" s="485">
        <v>0</v>
      </c>
      <c r="O343" s="486">
        <v>13895</v>
      </c>
      <c r="P343" s="486">
        <v>0</v>
      </c>
      <c r="Q343" s="486">
        <v>0</v>
      </c>
      <c r="R343" s="485"/>
      <c r="S343" s="486"/>
      <c r="T343" s="483">
        <f t="shared" si="26"/>
        <v>0</v>
      </c>
      <c r="U343" s="484">
        <f t="shared" si="27"/>
        <v>0</v>
      </c>
      <c r="V343" s="485"/>
      <c r="W343" s="486"/>
      <c r="X343" s="485"/>
      <c r="Y343" s="486"/>
      <c r="Z343" s="485"/>
      <c r="AA343" s="485"/>
      <c r="AB343" s="485"/>
      <c r="AC343" s="486"/>
      <c r="AD343" s="486"/>
      <c r="AE343" s="486"/>
      <c r="AF343" s="485"/>
      <c r="AG343" s="486"/>
    </row>
    <row r="344" spans="1:33">
      <c r="A344" s="84" t="s">
        <v>337</v>
      </c>
      <c r="B344" s="89" t="s">
        <v>410</v>
      </c>
      <c r="C344" s="86"/>
      <c r="D344" s="88">
        <v>199953</v>
      </c>
      <c r="E344" s="88">
        <v>10</v>
      </c>
      <c r="F344" s="483">
        <f t="shared" si="24"/>
        <v>35029</v>
      </c>
      <c r="G344" s="484">
        <f t="shared" si="25"/>
        <v>34679</v>
      </c>
      <c r="H344" s="485">
        <v>12145</v>
      </c>
      <c r="I344" s="486">
        <v>11687</v>
      </c>
      <c r="J344" s="485">
        <v>933</v>
      </c>
      <c r="K344" s="486">
        <v>1073</v>
      </c>
      <c r="L344" s="485">
        <v>21951</v>
      </c>
      <c r="M344" s="485">
        <v>0</v>
      </c>
      <c r="N344" s="485">
        <v>0</v>
      </c>
      <c r="O344" s="486">
        <v>21919</v>
      </c>
      <c r="P344" s="486">
        <v>0</v>
      </c>
      <c r="Q344" s="486">
        <v>0</v>
      </c>
      <c r="R344" s="485"/>
      <c r="S344" s="486"/>
      <c r="T344" s="483">
        <f t="shared" si="26"/>
        <v>0</v>
      </c>
      <c r="U344" s="484">
        <f t="shared" si="27"/>
        <v>0</v>
      </c>
      <c r="V344" s="485"/>
      <c r="W344" s="486"/>
      <c r="X344" s="485"/>
      <c r="Y344" s="486"/>
      <c r="Z344" s="485"/>
      <c r="AA344" s="485"/>
      <c r="AB344" s="485"/>
      <c r="AC344" s="486"/>
      <c r="AD344" s="486"/>
      <c r="AE344" s="486"/>
      <c r="AF344" s="485"/>
      <c r="AG344" s="486"/>
    </row>
    <row r="345" spans="1:33" s="28" customFormat="1" ht="13.5" customHeight="1">
      <c r="A345" s="98" t="s">
        <v>411</v>
      </c>
      <c r="B345" s="95" t="s">
        <v>412</v>
      </c>
      <c r="C345" s="133"/>
      <c r="D345" s="59">
        <v>207388</v>
      </c>
      <c r="E345" s="59">
        <v>1</v>
      </c>
      <c r="F345" s="483">
        <f t="shared" si="24"/>
        <v>587401</v>
      </c>
      <c r="G345" s="484">
        <f t="shared" si="25"/>
        <v>580598</v>
      </c>
      <c r="H345" s="485">
        <v>494932</v>
      </c>
      <c r="I345" s="486">
        <v>478704</v>
      </c>
      <c r="J345" s="485">
        <v>4911</v>
      </c>
      <c r="K345" s="486">
        <v>5052</v>
      </c>
      <c r="L345" s="485">
        <v>87558</v>
      </c>
      <c r="M345" s="485">
        <v>0</v>
      </c>
      <c r="N345" s="485">
        <v>0</v>
      </c>
      <c r="O345" s="486">
        <v>96842</v>
      </c>
      <c r="P345" s="486">
        <v>0</v>
      </c>
      <c r="Q345" s="486">
        <v>0</v>
      </c>
      <c r="R345" s="485">
        <v>0</v>
      </c>
      <c r="S345" s="486">
        <v>0</v>
      </c>
      <c r="T345" s="483">
        <f t="shared" si="26"/>
        <v>76568</v>
      </c>
      <c r="U345" s="484">
        <f t="shared" ref="U345:U370" si="28">SUM(W345,Y345,AC346,AD346,AE346,AG345)</f>
        <v>86788</v>
      </c>
      <c r="V345" s="485">
        <v>58423</v>
      </c>
      <c r="W345" s="486">
        <v>55279</v>
      </c>
      <c r="X345" s="485">
        <v>1913</v>
      </c>
      <c r="Y345" s="486">
        <v>1717</v>
      </c>
      <c r="Z345" s="485">
        <v>16232</v>
      </c>
      <c r="AA345" s="485"/>
      <c r="AB345" s="485"/>
      <c r="AC345" s="486">
        <v>16574</v>
      </c>
      <c r="AD345" s="500">
        <v>0</v>
      </c>
      <c r="AE345" s="501">
        <v>0</v>
      </c>
      <c r="AF345" s="485">
        <v>0</v>
      </c>
      <c r="AG345" s="486">
        <v>0</v>
      </c>
    </row>
    <row r="346" spans="1:33">
      <c r="A346" s="98" t="s">
        <v>411</v>
      </c>
      <c r="B346" s="95" t="s">
        <v>413</v>
      </c>
      <c r="C346" s="133"/>
      <c r="D346" s="59">
        <v>207500</v>
      </c>
      <c r="E346" s="59">
        <v>1</v>
      </c>
      <c r="F346" s="483">
        <f t="shared" si="24"/>
        <v>610804</v>
      </c>
      <c r="G346" s="484">
        <f t="shared" si="25"/>
        <v>627476</v>
      </c>
      <c r="H346" s="485">
        <v>529923</v>
      </c>
      <c r="I346" s="486">
        <v>540677</v>
      </c>
      <c r="J346" s="485">
        <v>7329</v>
      </c>
      <c r="K346" s="486">
        <v>9562</v>
      </c>
      <c r="L346" s="485">
        <v>71511</v>
      </c>
      <c r="M346" s="485">
        <v>99</v>
      </c>
      <c r="N346" s="485">
        <v>1942</v>
      </c>
      <c r="O346" s="486">
        <v>76294</v>
      </c>
      <c r="P346" s="486">
        <v>195</v>
      </c>
      <c r="Q346" s="486">
        <v>748</v>
      </c>
      <c r="R346" s="485">
        <v>0</v>
      </c>
      <c r="S346" s="486">
        <v>0</v>
      </c>
      <c r="T346" s="483">
        <f t="shared" si="26"/>
        <v>139389</v>
      </c>
      <c r="U346" s="484">
        <f t="shared" si="28"/>
        <v>128963</v>
      </c>
      <c r="V346" s="485">
        <v>93255</v>
      </c>
      <c r="W346" s="486">
        <v>108539</v>
      </c>
      <c r="X346" s="485">
        <v>17315</v>
      </c>
      <c r="Y346" s="486">
        <v>12819</v>
      </c>
      <c r="Z346" s="485">
        <v>24673</v>
      </c>
      <c r="AA346" s="485">
        <v>387</v>
      </c>
      <c r="AB346" s="485">
        <v>3759</v>
      </c>
      <c r="AC346" s="486">
        <v>27819</v>
      </c>
      <c r="AD346" s="486">
        <v>261</v>
      </c>
      <c r="AE346" s="486">
        <v>1712</v>
      </c>
      <c r="AF346" s="485">
        <v>0</v>
      </c>
      <c r="AG346" s="486">
        <v>0</v>
      </c>
    </row>
    <row r="347" spans="1:33">
      <c r="A347" s="134" t="s">
        <v>411</v>
      </c>
      <c r="B347" s="95" t="s">
        <v>414</v>
      </c>
      <c r="C347" s="133"/>
      <c r="D347" s="59">
        <v>207263</v>
      </c>
      <c r="E347" s="59">
        <v>3</v>
      </c>
      <c r="F347" s="483">
        <f t="shared" si="24"/>
        <v>167161</v>
      </c>
      <c r="G347" s="484">
        <f t="shared" si="25"/>
        <v>164589</v>
      </c>
      <c r="H347" s="485">
        <v>108585</v>
      </c>
      <c r="I347" s="486">
        <v>101883</v>
      </c>
      <c r="J347" s="485">
        <v>60</v>
      </c>
      <c r="K347" s="486">
        <v>0</v>
      </c>
      <c r="L347" s="485">
        <v>56631</v>
      </c>
      <c r="M347" s="485">
        <v>1885</v>
      </c>
      <c r="N347" s="485">
        <v>0</v>
      </c>
      <c r="O347" s="486">
        <v>60697</v>
      </c>
      <c r="P347" s="486">
        <v>2009</v>
      </c>
      <c r="Q347" s="486">
        <v>0</v>
      </c>
      <c r="R347" s="485">
        <v>0</v>
      </c>
      <c r="S347" s="486">
        <v>0</v>
      </c>
      <c r="T347" s="483">
        <f t="shared" si="26"/>
        <v>19836</v>
      </c>
      <c r="U347" s="484">
        <f t="shared" si="28"/>
        <v>16294</v>
      </c>
      <c r="V347" s="485">
        <v>13906</v>
      </c>
      <c r="W347" s="486">
        <v>13572</v>
      </c>
      <c r="X347" s="485">
        <v>0</v>
      </c>
      <c r="Y347" s="486">
        <v>0</v>
      </c>
      <c r="Z347" s="485">
        <v>5475</v>
      </c>
      <c r="AA347" s="485">
        <v>455</v>
      </c>
      <c r="AB347" s="485">
        <v>0</v>
      </c>
      <c r="AC347" s="486">
        <v>6812</v>
      </c>
      <c r="AD347" s="486">
        <v>793</v>
      </c>
      <c r="AE347" s="486">
        <v>0</v>
      </c>
      <c r="AF347" s="485">
        <v>0</v>
      </c>
      <c r="AG347" s="486">
        <v>0</v>
      </c>
    </row>
    <row r="348" spans="1:33">
      <c r="A348" s="98" t="s">
        <v>411</v>
      </c>
      <c r="B348" s="95" t="s">
        <v>415</v>
      </c>
      <c r="C348" s="133"/>
      <c r="D348" s="59">
        <v>206941</v>
      </c>
      <c r="E348" s="59">
        <v>3</v>
      </c>
      <c r="F348" s="483">
        <f t="shared" si="24"/>
        <v>353704</v>
      </c>
      <c r="G348" s="484">
        <f t="shared" si="25"/>
        <v>350254</v>
      </c>
      <c r="H348" s="485">
        <v>283821</v>
      </c>
      <c r="I348" s="486">
        <v>274902</v>
      </c>
      <c r="J348" s="485">
        <v>3678</v>
      </c>
      <c r="K348" s="486">
        <v>5148</v>
      </c>
      <c r="L348" s="485">
        <v>61430</v>
      </c>
      <c r="M348" s="485">
        <v>463</v>
      </c>
      <c r="N348" s="485">
        <v>3929</v>
      </c>
      <c r="O348" s="486">
        <v>65180</v>
      </c>
      <c r="P348" s="486">
        <v>1111</v>
      </c>
      <c r="Q348" s="486">
        <v>3913</v>
      </c>
      <c r="R348" s="485">
        <v>383</v>
      </c>
      <c r="S348" s="486">
        <v>0</v>
      </c>
      <c r="T348" s="483">
        <f t="shared" si="26"/>
        <v>24556</v>
      </c>
      <c r="U348" s="484">
        <f t="shared" si="28"/>
        <v>41613</v>
      </c>
      <c r="V348" s="485">
        <v>20821</v>
      </c>
      <c r="W348" s="486">
        <v>20798</v>
      </c>
      <c r="X348" s="485">
        <v>258</v>
      </c>
      <c r="Y348" s="486">
        <v>201</v>
      </c>
      <c r="Z348" s="485">
        <v>1492</v>
      </c>
      <c r="AA348" s="485">
        <v>12</v>
      </c>
      <c r="AB348" s="485">
        <v>1973</v>
      </c>
      <c r="AC348" s="486">
        <v>1267</v>
      </c>
      <c r="AD348" s="486">
        <v>21</v>
      </c>
      <c r="AE348" s="486">
        <v>1434</v>
      </c>
      <c r="AF348" s="485">
        <v>0</v>
      </c>
      <c r="AG348" s="486">
        <v>0</v>
      </c>
    </row>
    <row r="349" spans="1:33">
      <c r="A349" s="98" t="s">
        <v>411</v>
      </c>
      <c r="B349" s="95" t="s">
        <v>416</v>
      </c>
      <c r="C349" s="135"/>
      <c r="D349" s="59">
        <v>207847</v>
      </c>
      <c r="E349" s="59">
        <v>4</v>
      </c>
      <c r="F349" s="483">
        <f t="shared" si="24"/>
        <v>79180</v>
      </c>
      <c r="G349" s="484">
        <f t="shared" si="25"/>
        <v>80099</v>
      </c>
      <c r="H349" s="485">
        <v>47241</v>
      </c>
      <c r="I349" s="486">
        <v>44034</v>
      </c>
      <c r="J349" s="485">
        <v>1893</v>
      </c>
      <c r="K349" s="486">
        <v>731</v>
      </c>
      <c r="L349" s="485">
        <v>27833</v>
      </c>
      <c r="M349" s="485">
        <v>2213</v>
      </c>
      <c r="N349" s="485">
        <v>0</v>
      </c>
      <c r="O349" s="486">
        <v>33751</v>
      </c>
      <c r="P349" s="486">
        <v>609</v>
      </c>
      <c r="Q349" s="486">
        <v>974</v>
      </c>
      <c r="R349" s="485">
        <v>0</v>
      </c>
      <c r="S349" s="486">
        <v>0</v>
      </c>
      <c r="T349" s="483">
        <f t="shared" si="26"/>
        <v>12524</v>
      </c>
      <c r="U349" s="484">
        <f t="shared" si="28"/>
        <v>10006</v>
      </c>
      <c r="V349" s="485">
        <v>845</v>
      </c>
      <c r="W349" s="486">
        <v>1810</v>
      </c>
      <c r="X349" s="485">
        <v>1539</v>
      </c>
      <c r="Y349" s="486">
        <v>963</v>
      </c>
      <c r="Z349" s="485">
        <v>10083</v>
      </c>
      <c r="AA349" s="485">
        <v>57</v>
      </c>
      <c r="AB349" s="485">
        <v>0</v>
      </c>
      <c r="AC349" s="486">
        <v>20614</v>
      </c>
      <c r="AD349" s="486">
        <v>0</v>
      </c>
      <c r="AE349" s="486">
        <v>0</v>
      </c>
      <c r="AF349" s="485">
        <v>0</v>
      </c>
      <c r="AG349" s="486">
        <v>0</v>
      </c>
    </row>
    <row r="350" spans="1:33">
      <c r="A350" s="98" t="s">
        <v>411</v>
      </c>
      <c r="B350" s="95" t="s">
        <v>421</v>
      </c>
      <c r="C350" s="135"/>
      <c r="D350" s="59">
        <v>207865</v>
      </c>
      <c r="E350" s="59">
        <v>4</v>
      </c>
      <c r="F350" s="483">
        <f t="shared" si="24"/>
        <v>126266</v>
      </c>
      <c r="G350" s="484">
        <f t="shared" si="25"/>
        <v>123129</v>
      </c>
      <c r="H350" s="485">
        <v>96056</v>
      </c>
      <c r="I350" s="486">
        <v>90576</v>
      </c>
      <c r="J350" s="485">
        <v>1390</v>
      </c>
      <c r="K350" s="486">
        <v>1339</v>
      </c>
      <c r="L350" s="485">
        <v>27736</v>
      </c>
      <c r="M350" s="485">
        <v>1084</v>
      </c>
      <c r="N350" s="485">
        <v>0</v>
      </c>
      <c r="O350" s="486">
        <v>30409</v>
      </c>
      <c r="P350" s="486">
        <v>805</v>
      </c>
      <c r="Q350" s="486">
        <v>0</v>
      </c>
      <c r="R350" s="485">
        <v>0</v>
      </c>
      <c r="S350" s="486">
        <v>0</v>
      </c>
      <c r="T350" s="483">
        <f t="shared" si="26"/>
        <v>14123</v>
      </c>
      <c r="U350" s="484">
        <f t="shared" si="28"/>
        <v>10688</v>
      </c>
      <c r="V350" s="485">
        <v>7421</v>
      </c>
      <c r="W350" s="486">
        <v>7256</v>
      </c>
      <c r="X350" s="485">
        <v>30</v>
      </c>
      <c r="Y350" s="486">
        <v>0</v>
      </c>
      <c r="Z350" s="485">
        <v>6627</v>
      </c>
      <c r="AA350" s="485">
        <v>45</v>
      </c>
      <c r="AB350" s="485">
        <v>0</v>
      </c>
      <c r="AC350" s="486">
        <v>7230</v>
      </c>
      <c r="AD350" s="486">
        <v>3</v>
      </c>
      <c r="AE350" s="486">
        <v>0</v>
      </c>
      <c r="AF350" s="485">
        <v>0</v>
      </c>
      <c r="AG350" s="486">
        <v>0</v>
      </c>
    </row>
    <row r="351" spans="1:33">
      <c r="A351" s="98" t="s">
        <v>411</v>
      </c>
      <c r="B351" s="95" t="s">
        <v>417</v>
      </c>
      <c r="C351" s="133"/>
      <c r="D351" s="59">
        <v>206914</v>
      </c>
      <c r="E351" s="59">
        <v>5</v>
      </c>
      <c r="F351" s="483">
        <f t="shared" ref="F351:F415" si="29">SUM(H351,J351,L351,M351,N351,R351)</f>
        <v>101111</v>
      </c>
      <c r="G351" s="484">
        <f t="shared" ref="G351:G415" si="30">SUM(I351,K351,O351,P351,Q351,S351)</f>
        <v>97151</v>
      </c>
      <c r="H351" s="485">
        <v>69479</v>
      </c>
      <c r="I351" s="486">
        <v>62813</v>
      </c>
      <c r="J351" s="485">
        <v>1228</v>
      </c>
      <c r="K351" s="486">
        <v>1491</v>
      </c>
      <c r="L351" s="485">
        <v>20822</v>
      </c>
      <c r="M351" s="485">
        <v>9582</v>
      </c>
      <c r="N351" s="485">
        <v>0</v>
      </c>
      <c r="O351" s="486">
        <v>23525</v>
      </c>
      <c r="P351" s="486">
        <v>9322</v>
      </c>
      <c r="Q351" s="486">
        <v>0</v>
      </c>
      <c r="R351" s="485">
        <v>0</v>
      </c>
      <c r="S351" s="486">
        <v>0</v>
      </c>
      <c r="T351" s="483">
        <f t="shared" ref="T351:T415" si="31">SUM(V351,X351,Z351,AA351,AB351,AF351)</f>
        <v>6010</v>
      </c>
      <c r="U351" s="484">
        <f t="shared" si="28"/>
        <v>10017</v>
      </c>
      <c r="V351" s="485">
        <v>2167</v>
      </c>
      <c r="W351" s="486">
        <v>1806</v>
      </c>
      <c r="X351" s="485">
        <v>0</v>
      </c>
      <c r="Y351" s="486">
        <v>0</v>
      </c>
      <c r="Z351" s="485">
        <v>3321</v>
      </c>
      <c r="AA351" s="485">
        <v>522</v>
      </c>
      <c r="AB351" s="485">
        <v>0</v>
      </c>
      <c r="AC351" s="486">
        <v>3063</v>
      </c>
      <c r="AD351" s="486">
        <v>369</v>
      </c>
      <c r="AE351" s="486">
        <v>0</v>
      </c>
      <c r="AF351" s="485">
        <v>0</v>
      </c>
      <c r="AG351" s="486">
        <v>0</v>
      </c>
    </row>
    <row r="352" spans="1:33">
      <c r="A352" s="94" t="s">
        <v>411</v>
      </c>
      <c r="B352" s="95" t="s">
        <v>418</v>
      </c>
      <c r="C352" s="15" t="s">
        <v>935</v>
      </c>
      <c r="D352" s="59">
        <v>207041</v>
      </c>
      <c r="E352" s="59">
        <v>5</v>
      </c>
      <c r="F352" s="483">
        <f t="shared" si="29"/>
        <v>85261</v>
      </c>
      <c r="G352" s="484">
        <f t="shared" si="30"/>
        <v>81726</v>
      </c>
      <c r="H352" s="485">
        <v>66058</v>
      </c>
      <c r="I352" s="486">
        <v>63720</v>
      </c>
      <c r="J352" s="485">
        <v>1798</v>
      </c>
      <c r="K352" s="486">
        <v>1496</v>
      </c>
      <c r="L352" s="485">
        <v>14250</v>
      </c>
      <c r="M352" s="485">
        <v>69</v>
      </c>
      <c r="N352" s="485">
        <v>3086</v>
      </c>
      <c r="O352" s="486">
        <v>13922</v>
      </c>
      <c r="P352" s="486">
        <v>36</v>
      </c>
      <c r="Q352" s="486">
        <v>2552</v>
      </c>
      <c r="R352" s="485">
        <v>0</v>
      </c>
      <c r="S352" s="486">
        <v>0</v>
      </c>
      <c r="T352" s="483">
        <f t="shared" si="31"/>
        <v>10913</v>
      </c>
      <c r="U352" s="484">
        <f t="shared" si="28"/>
        <v>2653</v>
      </c>
      <c r="V352" s="485">
        <v>3468</v>
      </c>
      <c r="W352" s="486">
        <v>2460</v>
      </c>
      <c r="X352" s="485">
        <v>0</v>
      </c>
      <c r="Y352" s="486">
        <v>0</v>
      </c>
      <c r="Z352" s="485">
        <v>6573</v>
      </c>
      <c r="AA352" s="485">
        <v>173</v>
      </c>
      <c r="AB352" s="485">
        <v>699</v>
      </c>
      <c r="AC352" s="486">
        <v>7614</v>
      </c>
      <c r="AD352" s="486">
        <v>18</v>
      </c>
      <c r="AE352" s="486">
        <v>579</v>
      </c>
      <c r="AF352" s="485">
        <v>0</v>
      </c>
      <c r="AG352" s="486">
        <v>0</v>
      </c>
    </row>
    <row r="353" spans="1:33">
      <c r="A353" s="98" t="s">
        <v>411</v>
      </c>
      <c r="B353" s="95" t="s">
        <v>419</v>
      </c>
      <c r="C353" s="133"/>
      <c r="D353" s="59">
        <v>207209</v>
      </c>
      <c r="E353" s="59">
        <v>5</v>
      </c>
      <c r="F353" s="483">
        <f t="shared" si="29"/>
        <v>57408</v>
      </c>
      <c r="G353" s="484">
        <f t="shared" si="30"/>
        <v>56567</v>
      </c>
      <c r="H353" s="485">
        <v>50993</v>
      </c>
      <c r="I353" s="486">
        <v>49518</v>
      </c>
      <c r="J353" s="485">
        <v>0</v>
      </c>
      <c r="K353" s="486">
        <v>0</v>
      </c>
      <c r="L353" s="485">
        <v>6415</v>
      </c>
      <c r="M353" s="485">
        <v>0</v>
      </c>
      <c r="N353" s="485">
        <v>0</v>
      </c>
      <c r="O353" s="486">
        <v>7049</v>
      </c>
      <c r="P353" s="486">
        <v>0</v>
      </c>
      <c r="Q353" s="486">
        <v>0</v>
      </c>
      <c r="R353" s="485">
        <v>0</v>
      </c>
      <c r="S353" s="486">
        <v>0</v>
      </c>
      <c r="T353" s="483">
        <f t="shared" si="31"/>
        <v>5908</v>
      </c>
      <c r="U353" s="484">
        <f t="shared" si="28"/>
        <v>7534</v>
      </c>
      <c r="V353" s="485">
        <v>5611</v>
      </c>
      <c r="W353" s="486">
        <v>5294</v>
      </c>
      <c r="X353" s="485">
        <v>0</v>
      </c>
      <c r="Y353" s="486">
        <v>0</v>
      </c>
      <c r="Z353" s="485">
        <v>297</v>
      </c>
      <c r="AA353" s="485">
        <v>0</v>
      </c>
      <c r="AB353" s="485">
        <v>0</v>
      </c>
      <c r="AC353" s="486">
        <v>193</v>
      </c>
      <c r="AD353" s="486">
        <v>0</v>
      </c>
      <c r="AE353" s="486">
        <v>0</v>
      </c>
      <c r="AF353" s="485">
        <v>0</v>
      </c>
      <c r="AG353" s="486">
        <v>0</v>
      </c>
    </row>
    <row r="354" spans="1:33">
      <c r="A354" s="98" t="s">
        <v>411</v>
      </c>
      <c r="B354" s="95" t="s">
        <v>420</v>
      </c>
      <c r="C354" s="133"/>
      <c r="D354" s="59">
        <v>207306</v>
      </c>
      <c r="E354" s="59">
        <v>5</v>
      </c>
      <c r="F354" s="483">
        <f t="shared" si="29"/>
        <v>48846</v>
      </c>
      <c r="G354" s="484">
        <f t="shared" si="30"/>
        <v>47887</v>
      </c>
      <c r="H354" s="485">
        <v>32892</v>
      </c>
      <c r="I354" s="486">
        <v>31859</v>
      </c>
      <c r="J354" s="485">
        <v>24</v>
      </c>
      <c r="K354" s="486">
        <v>18</v>
      </c>
      <c r="L354" s="485">
        <v>8532</v>
      </c>
      <c r="M354" s="485">
        <v>7185</v>
      </c>
      <c r="N354" s="485">
        <v>213</v>
      </c>
      <c r="O354" s="486">
        <v>8719</v>
      </c>
      <c r="P354" s="486">
        <v>6754</v>
      </c>
      <c r="Q354" s="486">
        <v>537</v>
      </c>
      <c r="R354" s="485">
        <v>0</v>
      </c>
      <c r="S354" s="486">
        <v>0</v>
      </c>
      <c r="T354" s="483">
        <f t="shared" si="31"/>
        <v>2663</v>
      </c>
      <c r="U354" s="484">
        <f t="shared" si="28"/>
        <v>940</v>
      </c>
      <c r="V354" s="485">
        <v>999</v>
      </c>
      <c r="W354" s="486">
        <v>940</v>
      </c>
      <c r="X354" s="485">
        <v>6</v>
      </c>
      <c r="Y354" s="486">
        <v>0</v>
      </c>
      <c r="Z354" s="485">
        <v>842</v>
      </c>
      <c r="AA354" s="485">
        <v>544</v>
      </c>
      <c r="AB354" s="485">
        <v>272</v>
      </c>
      <c r="AC354" s="486">
        <v>1294</v>
      </c>
      <c r="AD354" s="486">
        <v>640</v>
      </c>
      <c r="AE354" s="486">
        <v>306</v>
      </c>
      <c r="AF354" s="485">
        <v>0</v>
      </c>
      <c r="AG354" s="486">
        <v>0</v>
      </c>
    </row>
    <row r="355" spans="1:33">
      <c r="A355" s="94" t="s">
        <v>411</v>
      </c>
      <c r="B355" s="95" t="s">
        <v>422</v>
      </c>
      <c r="C355" s="133"/>
      <c r="D355" s="59">
        <v>207351</v>
      </c>
      <c r="E355" s="59">
        <v>6</v>
      </c>
      <c r="F355" s="483">
        <f t="shared" si="29"/>
        <v>29451</v>
      </c>
      <c r="G355" s="484">
        <f t="shared" si="30"/>
        <v>30993</v>
      </c>
      <c r="H355" s="485">
        <v>22303</v>
      </c>
      <c r="I355" s="486">
        <v>22128</v>
      </c>
      <c r="J355" s="485">
        <v>0</v>
      </c>
      <c r="K355" s="486">
        <v>0</v>
      </c>
      <c r="L355" s="485">
        <v>7079</v>
      </c>
      <c r="M355" s="485">
        <v>69</v>
      </c>
      <c r="N355" s="485">
        <v>0</v>
      </c>
      <c r="O355" s="486">
        <v>8865</v>
      </c>
      <c r="P355" s="486">
        <v>0</v>
      </c>
      <c r="Q355" s="486">
        <v>0</v>
      </c>
      <c r="R355" s="485">
        <v>0</v>
      </c>
      <c r="S355" s="486">
        <v>0</v>
      </c>
      <c r="T355" s="483">
        <f t="shared" si="31"/>
        <v>0</v>
      </c>
      <c r="U355" s="484">
        <f t="shared" si="28"/>
        <v>24</v>
      </c>
      <c r="V355" s="485">
        <v>0</v>
      </c>
      <c r="W355" s="486">
        <v>0</v>
      </c>
      <c r="X355" s="485">
        <v>0</v>
      </c>
      <c r="Y355" s="486">
        <v>0</v>
      </c>
      <c r="Z355" s="485">
        <v>0</v>
      </c>
      <c r="AA355" s="485">
        <v>0</v>
      </c>
      <c r="AB355" s="485">
        <v>0</v>
      </c>
      <c r="AC355" s="486">
        <v>0</v>
      </c>
      <c r="AD355" s="486">
        <v>0</v>
      </c>
      <c r="AE355" s="486">
        <v>0</v>
      </c>
      <c r="AF355" s="485">
        <v>0</v>
      </c>
      <c r="AG355" s="486">
        <v>0</v>
      </c>
    </row>
    <row r="356" spans="1:33">
      <c r="A356" s="94" t="s">
        <v>411</v>
      </c>
      <c r="B356" s="95" t="s">
        <v>423</v>
      </c>
      <c r="C356" s="133"/>
      <c r="D356" s="59">
        <v>207661</v>
      </c>
      <c r="E356" s="136">
        <v>6</v>
      </c>
      <c r="F356" s="483">
        <f t="shared" si="29"/>
        <v>83657</v>
      </c>
      <c r="G356" s="484">
        <f t="shared" si="30"/>
        <v>81920</v>
      </c>
      <c r="H356" s="485">
        <v>58919</v>
      </c>
      <c r="I356" s="486">
        <v>54954</v>
      </c>
      <c r="J356" s="485">
        <v>0</v>
      </c>
      <c r="K356" s="486">
        <v>0</v>
      </c>
      <c r="L356" s="485">
        <v>23020</v>
      </c>
      <c r="M356" s="485">
        <v>1656</v>
      </c>
      <c r="N356" s="485">
        <v>6</v>
      </c>
      <c r="O356" s="486">
        <v>25325</v>
      </c>
      <c r="P356" s="486">
        <v>1641</v>
      </c>
      <c r="Q356" s="486">
        <v>0</v>
      </c>
      <c r="R356" s="485">
        <v>56</v>
      </c>
      <c r="S356" s="486">
        <v>0</v>
      </c>
      <c r="T356" s="483">
        <f t="shared" si="31"/>
        <v>504</v>
      </c>
      <c r="U356" s="484">
        <f t="shared" si="28"/>
        <v>435</v>
      </c>
      <c r="V356" s="485">
        <v>459</v>
      </c>
      <c r="W356" s="486">
        <v>435</v>
      </c>
      <c r="X356" s="485">
        <v>0</v>
      </c>
      <c r="Y356" s="486">
        <v>0</v>
      </c>
      <c r="Z356" s="485">
        <v>45</v>
      </c>
      <c r="AA356" s="485">
        <v>0</v>
      </c>
      <c r="AB356" s="485">
        <v>0</v>
      </c>
      <c r="AC356" s="486">
        <v>24</v>
      </c>
      <c r="AD356" s="486">
        <v>0</v>
      </c>
      <c r="AE356" s="486">
        <v>0</v>
      </c>
      <c r="AF356" s="485">
        <v>0</v>
      </c>
      <c r="AG356" s="486">
        <v>0</v>
      </c>
    </row>
    <row r="357" spans="1:33">
      <c r="A357" s="94" t="s">
        <v>411</v>
      </c>
      <c r="B357" s="95" t="s">
        <v>424</v>
      </c>
      <c r="C357" s="133"/>
      <c r="D357" s="59">
        <v>207722</v>
      </c>
      <c r="E357" s="59">
        <v>6</v>
      </c>
      <c r="F357" s="483">
        <f t="shared" si="29"/>
        <v>25677</v>
      </c>
      <c r="G357" s="484">
        <f t="shared" si="30"/>
        <v>25519</v>
      </c>
      <c r="H357" s="485">
        <v>25638</v>
      </c>
      <c r="I357" s="486">
        <v>25486</v>
      </c>
      <c r="J357" s="485">
        <v>39</v>
      </c>
      <c r="K357" s="486">
        <v>33</v>
      </c>
      <c r="L357" s="485">
        <v>0</v>
      </c>
      <c r="M357" s="485">
        <v>0</v>
      </c>
      <c r="N357" s="485">
        <v>0</v>
      </c>
      <c r="O357" s="486">
        <v>0</v>
      </c>
      <c r="P357" s="486">
        <v>0</v>
      </c>
      <c r="Q357" s="486">
        <v>0</v>
      </c>
      <c r="R357" s="485">
        <v>0</v>
      </c>
      <c r="S357" s="486">
        <v>0</v>
      </c>
      <c r="T357" s="483">
        <f t="shared" si="31"/>
        <v>0</v>
      </c>
      <c r="U357" s="484">
        <f t="shared" si="28"/>
        <v>0</v>
      </c>
      <c r="V357" s="485"/>
      <c r="W357" s="486"/>
      <c r="X357" s="485"/>
      <c r="Y357" s="486"/>
      <c r="Z357" s="485"/>
      <c r="AA357" s="485"/>
      <c r="AB357" s="485"/>
      <c r="AC357" s="486"/>
      <c r="AD357" s="486"/>
      <c r="AE357" s="486"/>
      <c r="AF357" s="485"/>
      <c r="AG357" s="486"/>
    </row>
    <row r="358" spans="1:33">
      <c r="A358" s="94" t="s">
        <v>411</v>
      </c>
      <c r="B358" s="95" t="s">
        <v>425</v>
      </c>
      <c r="C358" s="133"/>
      <c r="D358" s="59">
        <v>207564</v>
      </c>
      <c r="E358" s="59">
        <v>7</v>
      </c>
      <c r="F358" s="483">
        <f t="shared" si="29"/>
        <v>70812</v>
      </c>
      <c r="G358" s="484">
        <f t="shared" si="30"/>
        <v>71388</v>
      </c>
      <c r="H358" s="485">
        <v>54406</v>
      </c>
      <c r="I358" s="486">
        <v>55153</v>
      </c>
      <c r="J358" s="485">
        <v>0</v>
      </c>
      <c r="K358" s="486">
        <v>0</v>
      </c>
      <c r="L358" s="485">
        <v>13569</v>
      </c>
      <c r="M358" s="485">
        <v>0</v>
      </c>
      <c r="N358" s="485">
        <v>2837</v>
      </c>
      <c r="O358" s="486">
        <v>16235</v>
      </c>
      <c r="P358" s="486">
        <v>0</v>
      </c>
      <c r="Q358" s="486">
        <v>0</v>
      </c>
      <c r="R358" s="485">
        <v>0</v>
      </c>
      <c r="S358" s="486">
        <v>0</v>
      </c>
      <c r="T358" s="483">
        <f t="shared" si="31"/>
        <v>0</v>
      </c>
      <c r="U358" s="484">
        <f t="shared" si="28"/>
        <v>0</v>
      </c>
      <c r="V358" s="485"/>
      <c r="W358" s="486"/>
      <c r="X358" s="485"/>
      <c r="Y358" s="486"/>
      <c r="Z358" s="485"/>
      <c r="AA358" s="485"/>
      <c r="AB358" s="485"/>
      <c r="AC358" s="486"/>
      <c r="AD358" s="486"/>
      <c r="AE358" s="486"/>
      <c r="AF358" s="485"/>
      <c r="AG358" s="486"/>
    </row>
    <row r="359" spans="1:33">
      <c r="A359" s="94" t="s">
        <v>411</v>
      </c>
      <c r="B359" s="95" t="s">
        <v>426</v>
      </c>
      <c r="C359" s="133"/>
      <c r="D359" s="59">
        <v>207397</v>
      </c>
      <c r="E359" s="59">
        <v>7</v>
      </c>
      <c r="F359" s="483">
        <f t="shared" si="29"/>
        <v>133945</v>
      </c>
      <c r="G359" s="484">
        <f t="shared" si="30"/>
        <v>127235</v>
      </c>
      <c r="H359" s="485">
        <v>78488</v>
      </c>
      <c r="I359" s="486">
        <v>75490</v>
      </c>
      <c r="J359" s="485">
        <v>10</v>
      </c>
      <c r="K359" s="486">
        <v>3</v>
      </c>
      <c r="L359" s="485">
        <v>55447</v>
      </c>
      <c r="M359" s="485">
        <v>0</v>
      </c>
      <c r="N359" s="485">
        <v>0</v>
      </c>
      <c r="O359" s="486">
        <v>51742</v>
      </c>
      <c r="P359" s="486">
        <v>0</v>
      </c>
      <c r="Q359" s="486">
        <v>0</v>
      </c>
      <c r="R359" s="485">
        <v>0</v>
      </c>
      <c r="S359" s="486">
        <v>0</v>
      </c>
      <c r="T359" s="483">
        <f t="shared" si="31"/>
        <v>0</v>
      </c>
      <c r="U359" s="484">
        <f t="shared" si="28"/>
        <v>0</v>
      </c>
      <c r="V359" s="485"/>
      <c r="W359" s="486"/>
      <c r="X359" s="485"/>
      <c r="Y359" s="486"/>
      <c r="Z359" s="485"/>
      <c r="AA359" s="485"/>
      <c r="AB359" s="485"/>
      <c r="AC359" s="486"/>
      <c r="AD359" s="486"/>
      <c r="AE359" s="486"/>
      <c r="AF359" s="485"/>
      <c r="AG359" s="486"/>
    </row>
    <row r="360" spans="1:33">
      <c r="A360" s="94" t="s">
        <v>411</v>
      </c>
      <c r="B360" s="58" t="s">
        <v>427</v>
      </c>
      <c r="C360" s="133"/>
      <c r="D360" s="59">
        <v>207449</v>
      </c>
      <c r="E360" s="59">
        <v>8</v>
      </c>
      <c r="F360" s="483">
        <f t="shared" si="29"/>
        <v>237222</v>
      </c>
      <c r="G360" s="484">
        <f t="shared" si="30"/>
        <v>229097</v>
      </c>
      <c r="H360" s="485">
        <v>167309</v>
      </c>
      <c r="I360" s="486">
        <v>165940</v>
      </c>
      <c r="J360" s="485">
        <v>2030</v>
      </c>
      <c r="K360" s="486">
        <v>1875</v>
      </c>
      <c r="L360" s="485">
        <v>66704</v>
      </c>
      <c r="M360" s="485">
        <v>0</v>
      </c>
      <c r="N360" s="485">
        <v>1179</v>
      </c>
      <c r="O360" s="486">
        <v>59075</v>
      </c>
      <c r="P360" s="486">
        <v>0</v>
      </c>
      <c r="Q360" s="486">
        <v>2207</v>
      </c>
      <c r="R360" s="485">
        <v>0</v>
      </c>
      <c r="S360" s="486">
        <v>0</v>
      </c>
      <c r="T360" s="483">
        <f t="shared" si="31"/>
        <v>0</v>
      </c>
      <c r="U360" s="484">
        <f t="shared" si="28"/>
        <v>0</v>
      </c>
      <c r="V360" s="485"/>
      <c r="W360" s="486"/>
      <c r="X360" s="485"/>
      <c r="Y360" s="486"/>
      <c r="Z360" s="485"/>
      <c r="AA360" s="485"/>
      <c r="AB360" s="485"/>
      <c r="AC360" s="486"/>
      <c r="AD360" s="486"/>
      <c r="AE360" s="486"/>
      <c r="AF360" s="485"/>
      <c r="AG360" s="486"/>
    </row>
    <row r="361" spans="1:33">
      <c r="A361" s="94" t="s">
        <v>411</v>
      </c>
      <c r="B361" s="95" t="s">
        <v>428</v>
      </c>
      <c r="C361" s="133"/>
      <c r="D361" s="59">
        <v>207935</v>
      </c>
      <c r="E361" s="59">
        <v>8</v>
      </c>
      <c r="F361" s="483">
        <f t="shared" si="29"/>
        <v>303366</v>
      </c>
      <c r="G361" s="484">
        <f t="shared" si="30"/>
        <v>317549</v>
      </c>
      <c r="H361" s="485">
        <v>194052</v>
      </c>
      <c r="I361" s="486">
        <v>213994</v>
      </c>
      <c r="J361" s="485">
        <v>19068</v>
      </c>
      <c r="K361" s="486">
        <v>20693</v>
      </c>
      <c r="L361" s="485">
        <v>90246</v>
      </c>
      <c r="M361" s="485">
        <v>0</v>
      </c>
      <c r="N361" s="485">
        <v>0</v>
      </c>
      <c r="O361" s="486">
        <v>82862</v>
      </c>
      <c r="P361" s="486">
        <v>0</v>
      </c>
      <c r="Q361" s="486">
        <v>0</v>
      </c>
      <c r="R361" s="485">
        <v>0</v>
      </c>
      <c r="S361" s="486">
        <v>0</v>
      </c>
      <c r="T361" s="483">
        <f t="shared" si="31"/>
        <v>0</v>
      </c>
      <c r="U361" s="484">
        <f t="shared" si="28"/>
        <v>0</v>
      </c>
      <c r="V361" s="485"/>
      <c r="W361" s="486"/>
      <c r="X361" s="485"/>
      <c r="Y361" s="486"/>
      <c r="Z361" s="485"/>
      <c r="AA361" s="485"/>
      <c r="AB361" s="485"/>
      <c r="AC361" s="486"/>
      <c r="AD361" s="486"/>
      <c r="AE361" s="486"/>
      <c r="AF361" s="485"/>
      <c r="AG361" s="486"/>
    </row>
    <row r="362" spans="1:33">
      <c r="A362" s="94" t="s">
        <v>411</v>
      </c>
      <c r="B362" s="58" t="s">
        <v>429</v>
      </c>
      <c r="C362" s="133"/>
      <c r="D362" s="59">
        <v>207281</v>
      </c>
      <c r="E362" s="59">
        <v>9</v>
      </c>
      <c r="F362" s="483">
        <f t="shared" si="29"/>
        <v>82209</v>
      </c>
      <c r="G362" s="484">
        <f t="shared" si="30"/>
        <v>77640</v>
      </c>
      <c r="H362" s="485">
        <v>57523</v>
      </c>
      <c r="I362" s="486">
        <v>51797</v>
      </c>
      <c r="J362" s="485">
        <v>414</v>
      </c>
      <c r="K362" s="486">
        <v>393</v>
      </c>
      <c r="L362" s="485">
        <v>11996</v>
      </c>
      <c r="M362" s="485">
        <v>12276</v>
      </c>
      <c r="N362" s="485">
        <v>0</v>
      </c>
      <c r="O362" s="486">
        <v>13468</v>
      </c>
      <c r="P362" s="486">
        <v>11982</v>
      </c>
      <c r="Q362" s="486">
        <v>0</v>
      </c>
      <c r="R362" s="485">
        <v>0</v>
      </c>
      <c r="S362" s="486">
        <v>0</v>
      </c>
      <c r="T362" s="483">
        <f t="shared" si="31"/>
        <v>0</v>
      </c>
      <c r="U362" s="484">
        <f t="shared" si="28"/>
        <v>0</v>
      </c>
      <c r="V362" s="485"/>
      <c r="W362" s="486"/>
      <c r="X362" s="485"/>
      <c r="Y362" s="486"/>
      <c r="Z362" s="485"/>
      <c r="AA362" s="485"/>
      <c r="AB362" s="485"/>
      <c r="AC362" s="486"/>
      <c r="AD362" s="486"/>
      <c r="AE362" s="486"/>
      <c r="AF362" s="485"/>
      <c r="AG362" s="486"/>
    </row>
    <row r="363" spans="1:33">
      <c r="A363" s="94" t="s">
        <v>411</v>
      </c>
      <c r="B363" s="95" t="s">
        <v>430</v>
      </c>
      <c r="C363" s="135"/>
      <c r="D363" s="59">
        <v>207670</v>
      </c>
      <c r="E363" s="59">
        <v>9</v>
      </c>
      <c r="F363" s="483">
        <f t="shared" si="29"/>
        <v>131483</v>
      </c>
      <c r="G363" s="484">
        <f t="shared" si="30"/>
        <v>129628</v>
      </c>
      <c r="H363" s="485">
        <v>91464</v>
      </c>
      <c r="I363" s="486">
        <v>88569</v>
      </c>
      <c r="J363" s="485">
        <v>388</v>
      </c>
      <c r="K363" s="486">
        <v>402</v>
      </c>
      <c r="L363" s="485">
        <v>37430</v>
      </c>
      <c r="M363" s="485">
        <v>1020</v>
      </c>
      <c r="N363" s="485">
        <v>1181</v>
      </c>
      <c r="O363" s="486">
        <v>37869</v>
      </c>
      <c r="P363" s="486">
        <v>1635</v>
      </c>
      <c r="Q363" s="486">
        <v>1153</v>
      </c>
      <c r="R363" s="485">
        <v>0</v>
      </c>
      <c r="S363" s="486">
        <v>0</v>
      </c>
      <c r="T363" s="483">
        <f t="shared" si="31"/>
        <v>0</v>
      </c>
      <c r="U363" s="484">
        <f t="shared" si="28"/>
        <v>0</v>
      </c>
      <c r="V363" s="485"/>
      <c r="W363" s="486"/>
      <c r="X363" s="485"/>
      <c r="Y363" s="486"/>
      <c r="Z363" s="485"/>
      <c r="AA363" s="485"/>
      <c r="AB363" s="485"/>
      <c r="AC363" s="486"/>
      <c r="AD363" s="486"/>
      <c r="AE363" s="486"/>
      <c r="AF363" s="485"/>
      <c r="AG363" s="486"/>
    </row>
    <row r="364" spans="1:33">
      <c r="A364" s="94" t="s">
        <v>411</v>
      </c>
      <c r="B364" s="95" t="s">
        <v>431</v>
      </c>
      <c r="C364" s="135"/>
      <c r="D364" s="59">
        <v>206923</v>
      </c>
      <c r="E364" s="59">
        <v>10</v>
      </c>
      <c r="F364" s="483">
        <f t="shared" si="29"/>
        <v>45775</v>
      </c>
      <c r="G364" s="484">
        <f t="shared" si="30"/>
        <v>42448</v>
      </c>
      <c r="H364" s="485">
        <v>44161</v>
      </c>
      <c r="I364" s="486">
        <v>40924</v>
      </c>
      <c r="J364" s="485">
        <v>0</v>
      </c>
      <c r="K364" s="486">
        <v>0</v>
      </c>
      <c r="L364" s="485">
        <v>0</v>
      </c>
      <c r="M364" s="485">
        <v>1614</v>
      </c>
      <c r="N364" s="485">
        <v>0</v>
      </c>
      <c r="O364" s="486">
        <v>0</v>
      </c>
      <c r="P364" s="486">
        <v>1524</v>
      </c>
      <c r="Q364" s="486">
        <v>0</v>
      </c>
      <c r="R364" s="485">
        <v>0</v>
      </c>
      <c r="S364" s="486">
        <v>0</v>
      </c>
      <c r="T364" s="483">
        <f t="shared" si="31"/>
        <v>0</v>
      </c>
      <c r="U364" s="484">
        <f t="shared" si="28"/>
        <v>0</v>
      </c>
      <c r="V364" s="485"/>
      <c r="W364" s="486"/>
      <c r="X364" s="485"/>
      <c r="Y364" s="486"/>
      <c r="Z364" s="485"/>
      <c r="AA364" s="485"/>
      <c r="AB364" s="485"/>
      <c r="AC364" s="486"/>
      <c r="AD364" s="486"/>
      <c r="AE364" s="486"/>
      <c r="AF364" s="485"/>
      <c r="AG364" s="486"/>
    </row>
    <row r="365" spans="1:33">
      <c r="A365" s="94" t="s">
        <v>411</v>
      </c>
      <c r="B365" s="95" t="s">
        <v>432</v>
      </c>
      <c r="C365" s="133"/>
      <c r="D365" s="59">
        <v>206996</v>
      </c>
      <c r="E365" s="59">
        <v>10</v>
      </c>
      <c r="F365" s="483">
        <f t="shared" si="29"/>
        <v>51380</v>
      </c>
      <c r="G365" s="484">
        <f t="shared" si="30"/>
        <v>52306</v>
      </c>
      <c r="H365" s="485">
        <v>22461</v>
      </c>
      <c r="I365" s="486">
        <v>24889</v>
      </c>
      <c r="J365" s="485">
        <v>5102</v>
      </c>
      <c r="K365" s="486">
        <v>4855</v>
      </c>
      <c r="L365" s="485">
        <v>21511</v>
      </c>
      <c r="M365" s="485">
        <v>2306</v>
      </c>
      <c r="N365" s="485">
        <v>0</v>
      </c>
      <c r="O365" s="486">
        <v>19822</v>
      </c>
      <c r="P365" s="486">
        <v>2740</v>
      </c>
      <c r="Q365" s="486">
        <v>0</v>
      </c>
      <c r="R365" s="485">
        <v>0</v>
      </c>
      <c r="S365" s="486">
        <v>0</v>
      </c>
      <c r="T365" s="483">
        <f t="shared" si="31"/>
        <v>0</v>
      </c>
      <c r="U365" s="484">
        <f t="shared" si="28"/>
        <v>0</v>
      </c>
      <c r="V365" s="485"/>
      <c r="W365" s="486"/>
      <c r="X365" s="485"/>
      <c r="Y365" s="486"/>
      <c r="Z365" s="485"/>
      <c r="AA365" s="485"/>
      <c r="AB365" s="485"/>
      <c r="AC365" s="486"/>
      <c r="AD365" s="486"/>
      <c r="AE365" s="486"/>
      <c r="AF365" s="485"/>
      <c r="AG365" s="486"/>
    </row>
    <row r="366" spans="1:33">
      <c r="A366" s="94" t="s">
        <v>411</v>
      </c>
      <c r="B366" s="95" t="s">
        <v>433</v>
      </c>
      <c r="C366" s="133"/>
      <c r="D366" s="59">
        <v>207050</v>
      </c>
      <c r="E366" s="59">
        <v>10</v>
      </c>
      <c r="F366" s="483">
        <f t="shared" si="29"/>
        <v>25541</v>
      </c>
      <c r="G366" s="484">
        <f t="shared" si="30"/>
        <v>32904</v>
      </c>
      <c r="H366" s="485">
        <v>15730</v>
      </c>
      <c r="I366" s="486">
        <v>20427</v>
      </c>
      <c r="J366" s="485">
        <v>309</v>
      </c>
      <c r="K366" s="486">
        <v>486</v>
      </c>
      <c r="L366" s="485">
        <v>8074</v>
      </c>
      <c r="M366" s="485">
        <v>1428</v>
      </c>
      <c r="N366" s="485">
        <v>0</v>
      </c>
      <c r="O366" s="486">
        <v>9684</v>
      </c>
      <c r="P366" s="486">
        <v>2307</v>
      </c>
      <c r="Q366" s="486">
        <v>0</v>
      </c>
      <c r="R366" s="485">
        <v>0</v>
      </c>
      <c r="S366" s="486">
        <v>0</v>
      </c>
      <c r="T366" s="483">
        <f t="shared" si="31"/>
        <v>0</v>
      </c>
      <c r="U366" s="484">
        <f t="shared" si="28"/>
        <v>0</v>
      </c>
      <c r="V366" s="485"/>
      <c r="W366" s="486"/>
      <c r="X366" s="485"/>
      <c r="Y366" s="486"/>
      <c r="Z366" s="485"/>
      <c r="AA366" s="485"/>
      <c r="AB366" s="485"/>
      <c r="AC366" s="486"/>
      <c r="AD366" s="486"/>
      <c r="AE366" s="486"/>
      <c r="AF366" s="485"/>
      <c r="AG366" s="486"/>
    </row>
    <row r="367" spans="1:33">
      <c r="A367" s="94" t="s">
        <v>411</v>
      </c>
      <c r="B367" s="95" t="s">
        <v>434</v>
      </c>
      <c r="C367" s="133"/>
      <c r="D367" s="59">
        <v>207236</v>
      </c>
      <c r="E367" s="59">
        <v>10</v>
      </c>
      <c r="F367" s="483">
        <f t="shared" si="29"/>
        <v>46100</v>
      </c>
      <c r="G367" s="484">
        <f t="shared" si="30"/>
        <v>44197</v>
      </c>
      <c r="H367" s="485">
        <v>26710</v>
      </c>
      <c r="I367" s="486">
        <v>23662</v>
      </c>
      <c r="J367" s="485">
        <v>498</v>
      </c>
      <c r="K367" s="486">
        <v>363</v>
      </c>
      <c r="L367" s="485">
        <v>15493</v>
      </c>
      <c r="M367" s="485">
        <v>3249</v>
      </c>
      <c r="N367" s="485">
        <v>150</v>
      </c>
      <c r="O367" s="486">
        <v>17097</v>
      </c>
      <c r="P367" s="486">
        <v>3075</v>
      </c>
      <c r="Q367" s="486">
        <v>0</v>
      </c>
      <c r="R367" s="485">
        <v>0</v>
      </c>
      <c r="S367" s="486">
        <v>0</v>
      </c>
      <c r="T367" s="483">
        <f t="shared" si="31"/>
        <v>0</v>
      </c>
      <c r="U367" s="484">
        <f t="shared" si="28"/>
        <v>0</v>
      </c>
      <c r="V367" s="485"/>
      <c r="W367" s="486"/>
      <c r="X367" s="485"/>
      <c r="Y367" s="486"/>
      <c r="Z367" s="485"/>
      <c r="AA367" s="485"/>
      <c r="AB367" s="485"/>
      <c r="AC367" s="486"/>
      <c r="AD367" s="486"/>
      <c r="AE367" s="486"/>
      <c r="AF367" s="485"/>
      <c r="AG367" s="486"/>
    </row>
    <row r="368" spans="1:33">
      <c r="A368" s="94" t="s">
        <v>411</v>
      </c>
      <c r="B368" s="95" t="s">
        <v>435</v>
      </c>
      <c r="C368" s="133"/>
      <c r="D368" s="59">
        <v>207290</v>
      </c>
      <c r="E368" s="59">
        <v>10</v>
      </c>
      <c r="F368" s="483">
        <f t="shared" si="29"/>
        <v>52849</v>
      </c>
      <c r="G368" s="484">
        <f t="shared" si="30"/>
        <v>49976</v>
      </c>
      <c r="H368" s="485">
        <v>43341</v>
      </c>
      <c r="I368" s="486">
        <v>40997</v>
      </c>
      <c r="J368" s="485">
        <v>0</v>
      </c>
      <c r="K368" s="486">
        <v>0</v>
      </c>
      <c r="L368" s="485">
        <v>9265</v>
      </c>
      <c r="M368" s="485">
        <v>243</v>
      </c>
      <c r="N368" s="485">
        <v>0</v>
      </c>
      <c r="O368" s="486">
        <v>8832</v>
      </c>
      <c r="P368" s="486">
        <v>147</v>
      </c>
      <c r="Q368" s="486">
        <v>0</v>
      </c>
      <c r="R368" s="485">
        <v>0</v>
      </c>
      <c r="S368" s="486">
        <v>0</v>
      </c>
      <c r="T368" s="483">
        <f t="shared" si="31"/>
        <v>0</v>
      </c>
      <c r="U368" s="484">
        <f t="shared" si="28"/>
        <v>0</v>
      </c>
      <c r="V368" s="485"/>
      <c r="W368" s="486"/>
      <c r="X368" s="485"/>
      <c r="Y368" s="486"/>
      <c r="Z368" s="485"/>
      <c r="AA368" s="485"/>
      <c r="AB368" s="485"/>
      <c r="AC368" s="486"/>
      <c r="AD368" s="486"/>
      <c r="AE368" s="486"/>
      <c r="AF368" s="485"/>
      <c r="AG368" s="486"/>
    </row>
    <row r="369" spans="1:33">
      <c r="A369" s="94" t="s">
        <v>411</v>
      </c>
      <c r="B369" s="95" t="s">
        <v>436</v>
      </c>
      <c r="C369" s="133"/>
      <c r="D369" s="59">
        <v>207069</v>
      </c>
      <c r="E369" s="59">
        <v>10</v>
      </c>
      <c r="F369" s="483">
        <f t="shared" si="29"/>
        <v>35551</v>
      </c>
      <c r="G369" s="484">
        <f t="shared" si="30"/>
        <v>36157</v>
      </c>
      <c r="H369" s="485">
        <v>14838</v>
      </c>
      <c r="I369" s="486">
        <v>15867</v>
      </c>
      <c r="J369" s="485">
        <v>3342</v>
      </c>
      <c r="K369" s="486">
        <v>2094</v>
      </c>
      <c r="L369" s="485">
        <v>16009</v>
      </c>
      <c r="M369" s="485">
        <v>1362</v>
      </c>
      <c r="N369" s="485">
        <v>0</v>
      </c>
      <c r="O369" s="486">
        <v>17296</v>
      </c>
      <c r="P369" s="486">
        <v>900</v>
      </c>
      <c r="Q369" s="486">
        <v>0</v>
      </c>
      <c r="R369" s="485">
        <v>0</v>
      </c>
      <c r="S369" s="486">
        <v>0</v>
      </c>
      <c r="T369" s="483">
        <f t="shared" si="31"/>
        <v>0</v>
      </c>
      <c r="U369" s="484">
        <f t="shared" si="28"/>
        <v>0</v>
      </c>
      <c r="V369" s="485"/>
      <c r="W369" s="486"/>
      <c r="X369" s="485"/>
      <c r="Y369" s="486"/>
      <c r="Z369" s="485"/>
      <c r="AA369" s="485"/>
      <c r="AB369" s="485"/>
      <c r="AC369" s="486"/>
      <c r="AD369" s="486"/>
      <c r="AE369" s="486"/>
      <c r="AF369" s="485"/>
      <c r="AG369" s="486"/>
    </row>
    <row r="370" spans="1:33">
      <c r="A370" s="94" t="s">
        <v>411</v>
      </c>
      <c r="B370" s="95" t="s">
        <v>437</v>
      </c>
      <c r="C370" s="133"/>
      <c r="D370" s="59">
        <v>207740</v>
      </c>
      <c r="E370" s="59">
        <v>10</v>
      </c>
      <c r="F370" s="483">
        <f t="shared" si="29"/>
        <v>36115</v>
      </c>
      <c r="G370" s="484">
        <f t="shared" si="30"/>
        <v>36284</v>
      </c>
      <c r="H370" s="485">
        <v>27871</v>
      </c>
      <c r="I370" s="486">
        <v>27361</v>
      </c>
      <c r="J370" s="485">
        <v>1075</v>
      </c>
      <c r="K370" s="486">
        <v>1351</v>
      </c>
      <c r="L370" s="485">
        <v>6776</v>
      </c>
      <c r="M370" s="485">
        <v>393</v>
      </c>
      <c r="N370" s="485">
        <v>0</v>
      </c>
      <c r="O370" s="486">
        <v>7164</v>
      </c>
      <c r="P370" s="486">
        <v>408</v>
      </c>
      <c r="Q370" s="486">
        <v>0</v>
      </c>
      <c r="R370" s="485">
        <v>0</v>
      </c>
      <c r="S370" s="486">
        <v>0</v>
      </c>
      <c r="T370" s="483">
        <f t="shared" si="31"/>
        <v>0</v>
      </c>
      <c r="U370" s="484">
        <f t="shared" si="28"/>
        <v>0</v>
      </c>
      <c r="V370" s="485"/>
      <c r="W370" s="486"/>
      <c r="X370" s="485"/>
      <c r="Y370" s="486"/>
      <c r="Z370" s="485"/>
      <c r="AA370" s="485"/>
      <c r="AB370" s="485"/>
      <c r="AC370" s="486"/>
      <c r="AD370" s="486"/>
      <c r="AE370" s="486"/>
      <c r="AF370" s="485"/>
      <c r="AG370" s="486"/>
    </row>
    <row r="371" spans="1:33">
      <c r="A371" s="94" t="s">
        <v>411</v>
      </c>
      <c r="B371" s="95" t="s">
        <v>438</v>
      </c>
      <c r="C371" s="133"/>
      <c r="D371" s="59">
        <v>208035</v>
      </c>
      <c r="E371" s="59">
        <v>10</v>
      </c>
      <c r="F371" s="483">
        <f t="shared" si="29"/>
        <v>27561</v>
      </c>
      <c r="G371" s="484">
        <f t="shared" si="30"/>
        <v>26511</v>
      </c>
      <c r="H371" s="485">
        <v>16433</v>
      </c>
      <c r="I371" s="486">
        <v>15170</v>
      </c>
      <c r="J371" s="485">
        <v>688</v>
      </c>
      <c r="K371" s="486">
        <v>488</v>
      </c>
      <c r="L371" s="485">
        <v>8631</v>
      </c>
      <c r="M371" s="485">
        <v>1809</v>
      </c>
      <c r="N371" s="485">
        <v>0</v>
      </c>
      <c r="O371" s="486">
        <v>8901</v>
      </c>
      <c r="P371" s="486">
        <v>1952</v>
      </c>
      <c r="Q371" s="486">
        <v>0</v>
      </c>
      <c r="R371" s="485">
        <v>0</v>
      </c>
      <c r="S371" s="486">
        <v>0</v>
      </c>
      <c r="T371" s="483">
        <f t="shared" si="31"/>
        <v>0</v>
      </c>
      <c r="U371" s="484">
        <f>SUM(W371,Y371,AC373,AD373,AE373,AG371)</f>
        <v>19846</v>
      </c>
      <c r="V371" s="485"/>
      <c r="W371" s="486"/>
      <c r="X371" s="485"/>
      <c r="Y371" s="486"/>
      <c r="Z371" s="485"/>
      <c r="AA371" s="485"/>
      <c r="AB371" s="485"/>
      <c r="AC371" s="486"/>
      <c r="AD371" s="486"/>
      <c r="AE371" s="486"/>
      <c r="AF371" s="485"/>
      <c r="AG371" s="486"/>
    </row>
    <row r="372" spans="1:33">
      <c r="A372" s="502" t="s">
        <v>411</v>
      </c>
      <c r="B372" s="503"/>
      <c r="C372" s="504"/>
      <c r="D372" s="505"/>
      <c r="E372" s="505"/>
      <c r="F372" s="483"/>
      <c r="G372" s="484"/>
      <c r="H372" s="485"/>
      <c r="I372" s="486"/>
      <c r="J372" s="485"/>
      <c r="K372" s="486"/>
      <c r="L372" s="485"/>
      <c r="M372" s="485"/>
      <c r="N372" s="485"/>
      <c r="O372" s="486"/>
      <c r="P372" s="486"/>
      <c r="Q372" s="486"/>
      <c r="R372" s="485"/>
      <c r="S372" s="486"/>
      <c r="T372" s="483"/>
      <c r="U372" s="484"/>
      <c r="V372" s="485"/>
      <c r="W372" s="486"/>
      <c r="X372" s="485"/>
      <c r="Y372" s="486"/>
      <c r="Z372" s="485"/>
      <c r="AA372" s="485"/>
      <c r="AB372" s="485"/>
      <c r="AC372" s="486"/>
      <c r="AD372" s="486"/>
      <c r="AE372" s="486"/>
      <c r="AF372" s="485"/>
      <c r="AG372" s="486"/>
    </row>
    <row r="373" spans="1:33" s="28" customFormat="1" ht="13.5" customHeight="1">
      <c r="A373" s="140" t="s">
        <v>439</v>
      </c>
      <c r="B373" s="103" t="s">
        <v>440</v>
      </c>
      <c r="C373" s="104"/>
      <c r="D373" s="141">
        <v>217882</v>
      </c>
      <c r="E373" s="105">
        <v>1</v>
      </c>
      <c r="F373" s="483">
        <f t="shared" si="29"/>
        <v>589493</v>
      </c>
      <c r="G373" s="484">
        <f t="shared" si="30"/>
        <v>603785</v>
      </c>
      <c r="H373" s="485">
        <v>527601</v>
      </c>
      <c r="I373" s="486">
        <v>536931</v>
      </c>
      <c r="J373" s="485">
        <v>10460</v>
      </c>
      <c r="K373" s="486">
        <v>10739</v>
      </c>
      <c r="L373" s="485">
        <v>51432</v>
      </c>
      <c r="M373" s="485"/>
      <c r="N373" s="485"/>
      <c r="O373" s="486">
        <v>56115</v>
      </c>
      <c r="P373" s="486"/>
      <c r="Q373" s="486"/>
      <c r="R373" s="485"/>
      <c r="S373" s="486"/>
      <c r="T373" s="483">
        <f t="shared" si="31"/>
        <v>89753</v>
      </c>
      <c r="U373" s="484">
        <f t="shared" ref="U373:U436" si="32">SUM(W373,Y373,AC373,AD373,AE373,AG373)</f>
        <v>93420</v>
      </c>
      <c r="V373" s="485">
        <v>45884</v>
      </c>
      <c r="W373" s="486">
        <v>46433</v>
      </c>
      <c r="X373" s="485">
        <v>28398</v>
      </c>
      <c r="Y373" s="486">
        <v>27141</v>
      </c>
      <c r="Z373" s="485">
        <v>15471</v>
      </c>
      <c r="AA373" s="485"/>
      <c r="AB373" s="485"/>
      <c r="AC373" s="486">
        <v>19846</v>
      </c>
      <c r="AD373" s="486"/>
      <c r="AE373" s="486"/>
      <c r="AF373" s="485"/>
      <c r="AG373" s="486"/>
    </row>
    <row r="374" spans="1:33" s="28" customFormat="1" ht="12.75" customHeight="1">
      <c r="A374" s="140" t="s">
        <v>439</v>
      </c>
      <c r="B374" s="103" t="s">
        <v>441</v>
      </c>
      <c r="C374" s="104"/>
      <c r="D374" s="141">
        <v>218663</v>
      </c>
      <c r="E374" s="105">
        <v>1</v>
      </c>
      <c r="F374" s="483">
        <f t="shared" si="29"/>
        <v>790130</v>
      </c>
      <c r="G374" s="484">
        <f t="shared" si="30"/>
        <v>808864</v>
      </c>
      <c r="H374" s="485">
        <v>614796</v>
      </c>
      <c r="I374" s="486">
        <v>706804</v>
      </c>
      <c r="J374" s="485">
        <v>103770</v>
      </c>
      <c r="K374" s="486">
        <v>11778</v>
      </c>
      <c r="L374" s="485">
        <v>71396</v>
      </c>
      <c r="M374" s="485">
        <v>168</v>
      </c>
      <c r="N374" s="485"/>
      <c r="O374" s="486">
        <v>90225</v>
      </c>
      <c r="P374" s="486">
        <v>57</v>
      </c>
      <c r="Q374" s="486"/>
      <c r="R374" s="485"/>
      <c r="S374" s="486"/>
      <c r="T374" s="483">
        <f t="shared" si="31"/>
        <v>176083</v>
      </c>
      <c r="U374" s="484">
        <f t="shared" si="32"/>
        <v>170000</v>
      </c>
      <c r="V374" s="485">
        <v>92894</v>
      </c>
      <c r="W374" s="486">
        <v>123981</v>
      </c>
      <c r="X374" s="485">
        <v>41091</v>
      </c>
      <c r="Y374" s="486">
        <v>2801</v>
      </c>
      <c r="Z374" s="485">
        <v>35561</v>
      </c>
      <c r="AA374" s="485">
        <v>6537</v>
      </c>
      <c r="AB374" s="485"/>
      <c r="AC374" s="486">
        <v>31235</v>
      </c>
      <c r="AD374" s="486">
        <v>11983</v>
      </c>
      <c r="AE374" s="486"/>
      <c r="AF374" s="485"/>
      <c r="AG374" s="486"/>
    </row>
    <row r="375" spans="1:33">
      <c r="A375" s="140" t="s">
        <v>439</v>
      </c>
      <c r="B375" s="103" t="s">
        <v>442</v>
      </c>
      <c r="C375" s="104"/>
      <c r="D375" s="141">
        <v>217819</v>
      </c>
      <c r="E375" s="105">
        <v>3</v>
      </c>
      <c r="F375" s="483">
        <f t="shared" si="29"/>
        <v>298165</v>
      </c>
      <c r="G375" s="484">
        <f t="shared" si="30"/>
        <v>293389</v>
      </c>
      <c r="H375" s="485">
        <v>275483</v>
      </c>
      <c r="I375" s="486">
        <v>267919</v>
      </c>
      <c r="J375" s="485">
        <v>4017</v>
      </c>
      <c r="K375" s="486">
        <v>4927</v>
      </c>
      <c r="L375" s="485">
        <v>18665</v>
      </c>
      <c r="M375" s="485"/>
      <c r="N375" s="485"/>
      <c r="O375" s="486">
        <v>20543</v>
      </c>
      <c r="P375" s="486"/>
      <c r="Q375" s="486"/>
      <c r="R375" s="485"/>
      <c r="S375" s="486"/>
      <c r="T375" s="483">
        <f t="shared" si="31"/>
        <v>13834</v>
      </c>
      <c r="U375" s="484">
        <f t="shared" si="32"/>
        <v>13433</v>
      </c>
      <c r="V375" s="485">
        <v>7132</v>
      </c>
      <c r="W375" s="486">
        <v>6905</v>
      </c>
      <c r="X375" s="485">
        <v>2867</v>
      </c>
      <c r="Y375" s="486">
        <v>1837</v>
      </c>
      <c r="Z375" s="485">
        <v>3835</v>
      </c>
      <c r="AA375" s="485"/>
      <c r="AB375" s="485"/>
      <c r="AC375" s="486">
        <v>4691</v>
      </c>
      <c r="AD375" s="486"/>
      <c r="AE375" s="486"/>
      <c r="AF375" s="485"/>
      <c r="AG375" s="486"/>
    </row>
    <row r="376" spans="1:33" s="28" customFormat="1" ht="12.75" customHeight="1">
      <c r="A376" s="140" t="s">
        <v>439</v>
      </c>
      <c r="B376" s="103" t="s">
        <v>443</v>
      </c>
      <c r="C376" s="107"/>
      <c r="D376" s="141">
        <v>217864</v>
      </c>
      <c r="E376" s="105">
        <v>3</v>
      </c>
      <c r="F376" s="483">
        <f t="shared" si="29"/>
        <v>96854</v>
      </c>
      <c r="G376" s="484">
        <f t="shared" si="30"/>
        <v>100553</v>
      </c>
      <c r="H376" s="485">
        <v>92772</v>
      </c>
      <c r="I376" s="486">
        <v>95474</v>
      </c>
      <c r="J376" s="485"/>
      <c r="K376" s="486">
        <v>58</v>
      </c>
      <c r="L376" s="485">
        <v>4082</v>
      </c>
      <c r="M376" s="485"/>
      <c r="N376" s="485"/>
      <c r="O376" s="486">
        <v>5021</v>
      </c>
      <c r="P376" s="486"/>
      <c r="Q376" s="486"/>
      <c r="R376" s="485"/>
      <c r="S376" s="486"/>
      <c r="T376" s="483">
        <f t="shared" si="31"/>
        <v>15084</v>
      </c>
      <c r="U376" s="484">
        <f t="shared" si="32"/>
        <v>15405</v>
      </c>
      <c r="V376" s="485">
        <v>7781</v>
      </c>
      <c r="W376" s="486">
        <v>7190</v>
      </c>
      <c r="X376" s="485">
        <v>1665</v>
      </c>
      <c r="Y376" s="486">
        <v>1386</v>
      </c>
      <c r="Z376" s="485">
        <v>5638</v>
      </c>
      <c r="AA376" s="485"/>
      <c r="AB376" s="485"/>
      <c r="AC376" s="486">
        <v>6829</v>
      </c>
      <c r="AD376" s="486"/>
      <c r="AE376" s="486"/>
      <c r="AF376" s="485"/>
      <c r="AG376" s="486"/>
    </row>
    <row r="377" spans="1:33">
      <c r="A377" s="140" t="s">
        <v>439</v>
      </c>
      <c r="B377" s="103" t="s">
        <v>444</v>
      </c>
      <c r="C377" s="104"/>
      <c r="D377" s="141">
        <v>218964</v>
      </c>
      <c r="E377" s="105">
        <v>3</v>
      </c>
      <c r="F377" s="483">
        <f t="shared" si="29"/>
        <v>147023</v>
      </c>
      <c r="G377" s="484">
        <f t="shared" si="30"/>
        <v>143981</v>
      </c>
      <c r="H377" s="485">
        <v>129573</v>
      </c>
      <c r="I377" s="486">
        <v>124625.5</v>
      </c>
      <c r="J377" s="485">
        <v>2719</v>
      </c>
      <c r="K377" s="486">
        <v>2545.5</v>
      </c>
      <c r="L377" s="485">
        <v>14731</v>
      </c>
      <c r="M377" s="485"/>
      <c r="N377" s="485"/>
      <c r="O377" s="486">
        <v>16810</v>
      </c>
      <c r="P377" s="486"/>
      <c r="Q377" s="486"/>
      <c r="R377" s="485"/>
      <c r="S377" s="486"/>
      <c r="T377" s="483">
        <f t="shared" si="31"/>
        <v>13607</v>
      </c>
      <c r="U377" s="484">
        <f t="shared" si="32"/>
        <v>12567.5</v>
      </c>
      <c r="V377" s="485">
        <v>10383</v>
      </c>
      <c r="W377" s="486">
        <v>9359.5</v>
      </c>
      <c r="X377" s="485">
        <v>1403</v>
      </c>
      <c r="Y377" s="486">
        <v>730</v>
      </c>
      <c r="Z377" s="485">
        <v>1821</v>
      </c>
      <c r="AA377" s="485"/>
      <c r="AB377" s="485"/>
      <c r="AC377" s="486">
        <v>2478</v>
      </c>
      <c r="AD377" s="486"/>
      <c r="AE377" s="486"/>
      <c r="AF377" s="485"/>
      <c r="AG377" s="486"/>
    </row>
    <row r="378" spans="1:33" s="28" customFormat="1" ht="15" customHeight="1">
      <c r="A378" s="140" t="s">
        <v>439</v>
      </c>
      <c r="B378" s="103" t="s">
        <v>445</v>
      </c>
      <c r="C378" s="143" t="s">
        <v>974</v>
      </c>
      <c r="D378" s="141">
        <v>218724</v>
      </c>
      <c r="E378" s="113">
        <v>4</v>
      </c>
      <c r="F378" s="483">
        <f t="shared" si="29"/>
        <v>290577</v>
      </c>
      <c r="G378" s="484">
        <f t="shared" si="30"/>
        <v>292069</v>
      </c>
      <c r="H378" s="485">
        <v>244617</v>
      </c>
      <c r="I378" s="486">
        <v>238856</v>
      </c>
      <c r="J378" s="485">
        <v>2493</v>
      </c>
      <c r="K378" s="486">
        <v>2530</v>
      </c>
      <c r="L378" s="485">
        <v>43467</v>
      </c>
      <c r="M378" s="485"/>
      <c r="N378" s="485"/>
      <c r="O378" s="486">
        <v>50683</v>
      </c>
      <c r="P378" s="486"/>
      <c r="Q378" s="486"/>
      <c r="R378" s="485"/>
      <c r="S378" s="486"/>
      <c r="T378" s="483">
        <f t="shared" si="31"/>
        <v>14068</v>
      </c>
      <c r="U378" s="484">
        <f t="shared" si="32"/>
        <v>13125</v>
      </c>
      <c r="V378" s="485">
        <v>5145</v>
      </c>
      <c r="W378" s="486">
        <v>4806</v>
      </c>
      <c r="X378" s="485">
        <v>1365</v>
      </c>
      <c r="Y378" s="486">
        <v>1254</v>
      </c>
      <c r="Z378" s="485">
        <v>7558</v>
      </c>
      <c r="AA378" s="485"/>
      <c r="AB378" s="485"/>
      <c r="AC378" s="486">
        <v>7065</v>
      </c>
      <c r="AD378" s="486"/>
      <c r="AE378" s="486"/>
      <c r="AF378" s="485"/>
      <c r="AG378" s="486"/>
    </row>
    <row r="379" spans="1:33" s="28" customFormat="1" ht="15" customHeight="1">
      <c r="A379" s="140" t="s">
        <v>439</v>
      </c>
      <c r="B379" s="103" t="s">
        <v>446</v>
      </c>
      <c r="C379" s="142"/>
      <c r="D379" s="141">
        <v>218061</v>
      </c>
      <c r="E379" s="105">
        <v>5</v>
      </c>
      <c r="F379" s="483">
        <f t="shared" si="29"/>
        <v>92919</v>
      </c>
      <c r="G379" s="484">
        <f t="shared" si="30"/>
        <v>87859</v>
      </c>
      <c r="H379" s="485">
        <v>89052</v>
      </c>
      <c r="I379" s="486">
        <v>80875</v>
      </c>
      <c r="J379" s="485">
        <v>81</v>
      </c>
      <c r="K379" s="486">
        <v>770</v>
      </c>
      <c r="L379" s="485">
        <v>3786</v>
      </c>
      <c r="M379" s="485"/>
      <c r="N379" s="485"/>
      <c r="O379" s="486">
        <v>6214</v>
      </c>
      <c r="P379" s="486"/>
      <c r="Q379" s="486"/>
      <c r="R379" s="485"/>
      <c r="S379" s="486"/>
      <c r="T379" s="483">
        <f t="shared" si="31"/>
        <v>5669</v>
      </c>
      <c r="U379" s="484">
        <f t="shared" si="32"/>
        <v>8041</v>
      </c>
      <c r="V379" s="485">
        <v>3857</v>
      </c>
      <c r="W379" s="486">
        <v>4888</v>
      </c>
      <c r="X379" s="485"/>
      <c r="Y379" s="486">
        <v>908</v>
      </c>
      <c r="Z379" s="485">
        <v>1812</v>
      </c>
      <c r="AA379" s="485"/>
      <c r="AB379" s="485"/>
      <c r="AC379" s="486">
        <v>2245</v>
      </c>
      <c r="AD379" s="486"/>
      <c r="AE379" s="486"/>
      <c r="AF379" s="485"/>
      <c r="AG379" s="486"/>
    </row>
    <row r="380" spans="1:33" s="28" customFormat="1" ht="15" customHeight="1">
      <c r="A380" s="140" t="s">
        <v>439</v>
      </c>
      <c r="B380" s="103" t="s">
        <v>447</v>
      </c>
      <c r="C380" s="142"/>
      <c r="D380" s="141">
        <v>218733</v>
      </c>
      <c r="E380" s="105">
        <v>5</v>
      </c>
      <c r="F380" s="483">
        <f t="shared" si="29"/>
        <v>69861</v>
      </c>
      <c r="G380" s="484">
        <f t="shared" si="30"/>
        <v>68036</v>
      </c>
      <c r="H380" s="485">
        <v>64107</v>
      </c>
      <c r="I380" s="486">
        <v>61512</v>
      </c>
      <c r="J380" s="485"/>
      <c r="K380" s="486"/>
      <c r="L380" s="485">
        <v>5736</v>
      </c>
      <c r="M380" s="485"/>
      <c r="N380" s="485">
        <v>18</v>
      </c>
      <c r="O380" s="486">
        <v>6524</v>
      </c>
      <c r="P380" s="486"/>
      <c r="Q380" s="486"/>
      <c r="R380" s="485"/>
      <c r="S380" s="486"/>
      <c r="T380" s="483">
        <f t="shared" si="31"/>
        <v>7234</v>
      </c>
      <c r="U380" s="484">
        <f t="shared" si="32"/>
        <v>8239</v>
      </c>
      <c r="V380" s="485">
        <v>6367</v>
      </c>
      <c r="W380" s="486">
        <v>7150</v>
      </c>
      <c r="X380" s="485"/>
      <c r="Y380" s="486"/>
      <c r="Z380" s="485">
        <v>867</v>
      </c>
      <c r="AA380" s="485"/>
      <c r="AB380" s="485"/>
      <c r="AC380" s="486">
        <v>1032</v>
      </c>
      <c r="AD380" s="486">
        <v>57</v>
      </c>
      <c r="AE380" s="486"/>
      <c r="AF380" s="485"/>
      <c r="AG380" s="486"/>
    </row>
    <row r="381" spans="1:33" s="28" customFormat="1" ht="15" customHeight="1">
      <c r="A381" s="140" t="s">
        <v>439</v>
      </c>
      <c r="B381" s="103" t="s">
        <v>448</v>
      </c>
      <c r="C381" s="142"/>
      <c r="D381" s="141">
        <v>218229</v>
      </c>
      <c r="E381" s="105">
        <v>6</v>
      </c>
      <c r="F381" s="483">
        <f t="shared" si="29"/>
        <v>79040</v>
      </c>
      <c r="G381" s="484">
        <f t="shared" si="30"/>
        <v>82016.5</v>
      </c>
      <c r="H381" s="485">
        <v>72813</v>
      </c>
      <c r="I381" s="486">
        <v>73509.5</v>
      </c>
      <c r="J381" s="485">
        <v>33</v>
      </c>
      <c r="K381" s="486">
        <v>75</v>
      </c>
      <c r="L381" s="485">
        <v>6194</v>
      </c>
      <c r="M381" s="485"/>
      <c r="N381" s="485"/>
      <c r="O381" s="486">
        <v>8432</v>
      </c>
      <c r="P381" s="486"/>
      <c r="Q381" s="486"/>
      <c r="R381" s="485"/>
      <c r="S381" s="486"/>
      <c r="T381" s="483">
        <f t="shared" si="31"/>
        <v>1121</v>
      </c>
      <c r="U381" s="484">
        <f t="shared" si="32"/>
        <v>1610</v>
      </c>
      <c r="V381" s="485">
        <v>378</v>
      </c>
      <c r="W381" s="486">
        <v>495</v>
      </c>
      <c r="X381" s="485"/>
      <c r="Y381" s="486"/>
      <c r="Z381" s="485">
        <v>743</v>
      </c>
      <c r="AA381" s="485"/>
      <c r="AB381" s="485"/>
      <c r="AC381" s="486">
        <v>1115</v>
      </c>
      <c r="AD381" s="486"/>
      <c r="AE381" s="486"/>
      <c r="AF381" s="485"/>
      <c r="AG381" s="486"/>
    </row>
    <row r="382" spans="1:33" s="28" customFormat="1" ht="15" customHeight="1">
      <c r="A382" s="140" t="s">
        <v>439</v>
      </c>
      <c r="B382" s="103" t="s">
        <v>449</v>
      </c>
      <c r="C382" s="142"/>
      <c r="D382" s="141">
        <v>218645</v>
      </c>
      <c r="E382" s="105">
        <v>6</v>
      </c>
      <c r="F382" s="483">
        <f t="shared" si="29"/>
        <v>89565</v>
      </c>
      <c r="G382" s="484">
        <f t="shared" si="30"/>
        <v>91856</v>
      </c>
      <c r="H382" s="485">
        <v>71159</v>
      </c>
      <c r="I382" s="486">
        <v>68797</v>
      </c>
      <c r="J382" s="485">
        <v>3684</v>
      </c>
      <c r="K382" s="486">
        <v>3837</v>
      </c>
      <c r="L382" s="485">
        <v>14722</v>
      </c>
      <c r="M382" s="485"/>
      <c r="N382" s="485"/>
      <c r="O382" s="486">
        <v>19222</v>
      </c>
      <c r="P382" s="486"/>
      <c r="Q382" s="486"/>
      <c r="R382" s="485"/>
      <c r="S382" s="486"/>
      <c r="T382" s="483">
        <f t="shared" si="31"/>
        <v>2788</v>
      </c>
      <c r="U382" s="484">
        <f t="shared" si="32"/>
        <v>1610</v>
      </c>
      <c r="V382" s="485">
        <v>868</v>
      </c>
      <c r="W382" s="486">
        <v>428</v>
      </c>
      <c r="X382" s="485">
        <v>69</v>
      </c>
      <c r="Y382" s="486"/>
      <c r="Z382" s="485">
        <v>1851</v>
      </c>
      <c r="AA382" s="485"/>
      <c r="AB382" s="485"/>
      <c r="AC382" s="486">
        <v>1182</v>
      </c>
      <c r="AD382" s="486"/>
      <c r="AE382" s="486"/>
      <c r="AF382" s="485"/>
      <c r="AG382" s="486"/>
    </row>
    <row r="383" spans="1:33" s="28" customFormat="1" ht="15" customHeight="1">
      <c r="A383" s="140" t="s">
        <v>439</v>
      </c>
      <c r="B383" s="108" t="s">
        <v>450</v>
      </c>
      <c r="C383" s="142"/>
      <c r="D383" s="141">
        <v>218654</v>
      </c>
      <c r="E383" s="105">
        <v>6</v>
      </c>
      <c r="F383" s="483">
        <f t="shared" si="29"/>
        <v>57050</v>
      </c>
      <c r="G383" s="484">
        <f t="shared" si="30"/>
        <v>58819</v>
      </c>
      <c r="H383" s="485">
        <v>42175</v>
      </c>
      <c r="I383" s="486">
        <v>40441</v>
      </c>
      <c r="J383" s="485">
        <v>5607</v>
      </c>
      <c r="K383" s="486">
        <v>2781</v>
      </c>
      <c r="L383" s="485">
        <v>9268</v>
      </c>
      <c r="M383" s="485"/>
      <c r="N383" s="485"/>
      <c r="O383" s="486">
        <v>15597</v>
      </c>
      <c r="P383" s="486"/>
      <c r="Q383" s="486"/>
      <c r="R383" s="485"/>
      <c r="S383" s="486"/>
      <c r="T383" s="483">
        <f t="shared" si="31"/>
        <v>0</v>
      </c>
      <c r="U383" s="484">
        <f t="shared" si="32"/>
        <v>0</v>
      </c>
      <c r="V383" s="485"/>
      <c r="W383" s="486"/>
      <c r="X383" s="485"/>
      <c r="Y383" s="486"/>
      <c r="Z383" s="485"/>
      <c r="AA383" s="485"/>
      <c r="AB383" s="485"/>
      <c r="AC383" s="486"/>
      <c r="AD383" s="486"/>
      <c r="AE383" s="486"/>
      <c r="AF383" s="485"/>
      <c r="AG383" s="486"/>
    </row>
    <row r="384" spans="1:33" s="28" customFormat="1" ht="15" customHeight="1">
      <c r="A384" s="140" t="s">
        <v>439</v>
      </c>
      <c r="B384" s="103" t="s">
        <v>451</v>
      </c>
      <c r="C384" s="142"/>
      <c r="D384" s="141">
        <v>218742</v>
      </c>
      <c r="E384" s="105">
        <v>6</v>
      </c>
      <c r="F384" s="483">
        <f t="shared" si="29"/>
        <v>152226</v>
      </c>
      <c r="G384" s="484">
        <f t="shared" si="30"/>
        <v>159493</v>
      </c>
      <c r="H384" s="485">
        <v>110155</v>
      </c>
      <c r="I384" s="486">
        <v>111564</v>
      </c>
      <c r="J384" s="485">
        <v>16962</v>
      </c>
      <c r="K384" s="486">
        <v>8304</v>
      </c>
      <c r="L384" s="485">
        <v>25109</v>
      </c>
      <c r="M384" s="485"/>
      <c r="N384" s="485"/>
      <c r="O384" s="486">
        <v>39625</v>
      </c>
      <c r="P384" s="486"/>
      <c r="Q384" s="486"/>
      <c r="R384" s="485"/>
      <c r="S384" s="486"/>
      <c r="T384" s="483">
        <f t="shared" si="31"/>
        <v>2596</v>
      </c>
      <c r="U384" s="484">
        <f t="shared" si="32"/>
        <v>1636</v>
      </c>
      <c r="V384" s="485">
        <v>346</v>
      </c>
      <c r="W384" s="486">
        <v>294</v>
      </c>
      <c r="X384" s="485">
        <v>608</v>
      </c>
      <c r="Y384" s="486">
        <v>18</v>
      </c>
      <c r="Z384" s="485">
        <v>1642</v>
      </c>
      <c r="AA384" s="485"/>
      <c r="AB384" s="485"/>
      <c r="AC384" s="486">
        <v>1324</v>
      </c>
      <c r="AD384" s="486"/>
      <c r="AE384" s="486"/>
      <c r="AF384" s="485"/>
      <c r="AG384" s="486"/>
    </row>
    <row r="385" spans="1:33" s="28" customFormat="1" ht="15" customHeight="1">
      <c r="A385" s="140" t="s">
        <v>439</v>
      </c>
      <c r="B385" s="103" t="s">
        <v>453</v>
      </c>
      <c r="C385" s="142"/>
      <c r="D385" s="141">
        <v>218113</v>
      </c>
      <c r="E385" s="110">
        <v>8</v>
      </c>
      <c r="F385" s="483">
        <f t="shared" si="29"/>
        <v>241012</v>
      </c>
      <c r="G385" s="484">
        <f t="shared" si="30"/>
        <v>229910</v>
      </c>
      <c r="H385" s="485">
        <v>153046</v>
      </c>
      <c r="I385" s="486">
        <v>139527</v>
      </c>
      <c r="J385" s="485">
        <v>14817</v>
      </c>
      <c r="K385" s="486">
        <v>14789</v>
      </c>
      <c r="L385" s="485">
        <v>73149</v>
      </c>
      <c r="M385" s="485"/>
      <c r="N385" s="485"/>
      <c r="O385" s="486">
        <v>75594</v>
      </c>
      <c r="P385" s="486"/>
      <c r="Q385" s="486"/>
      <c r="R385" s="485"/>
      <c r="S385" s="486"/>
      <c r="T385" s="483">
        <f t="shared" si="31"/>
        <v>0</v>
      </c>
      <c r="U385" s="484">
        <f t="shared" si="32"/>
        <v>0</v>
      </c>
      <c r="V385" s="485"/>
      <c r="W385" s="486"/>
      <c r="X385" s="485"/>
      <c r="Y385" s="486"/>
      <c r="Z385" s="485"/>
      <c r="AA385" s="485"/>
      <c r="AB385" s="485"/>
      <c r="AC385" s="486"/>
      <c r="AD385" s="486"/>
      <c r="AE385" s="486"/>
      <c r="AF385" s="485"/>
      <c r="AG385" s="486"/>
    </row>
    <row r="386" spans="1:33" s="28" customFormat="1" ht="15" customHeight="1">
      <c r="A386" s="140" t="s">
        <v>439</v>
      </c>
      <c r="B386" s="111" t="s">
        <v>454</v>
      </c>
      <c r="C386" s="142"/>
      <c r="D386" s="141">
        <v>218140</v>
      </c>
      <c r="E386" s="110">
        <v>8</v>
      </c>
      <c r="F386" s="483">
        <f t="shared" si="29"/>
        <v>154156</v>
      </c>
      <c r="G386" s="484">
        <f t="shared" si="30"/>
        <v>155687</v>
      </c>
      <c r="H386" s="485">
        <v>97792</v>
      </c>
      <c r="I386" s="486">
        <v>97399</v>
      </c>
      <c r="J386" s="485">
        <v>7416</v>
      </c>
      <c r="K386" s="486">
        <v>7958</v>
      </c>
      <c r="L386" s="485">
        <v>48948</v>
      </c>
      <c r="M386" s="485"/>
      <c r="N386" s="485"/>
      <c r="O386" s="486">
        <v>50330</v>
      </c>
      <c r="P386" s="486"/>
      <c r="Q386" s="486"/>
      <c r="R386" s="485"/>
      <c r="S386" s="486"/>
      <c r="T386" s="483">
        <f t="shared" si="31"/>
        <v>0</v>
      </c>
      <c r="U386" s="484">
        <f t="shared" si="32"/>
        <v>0</v>
      </c>
      <c r="V386" s="485"/>
      <c r="W386" s="486"/>
      <c r="X386" s="485"/>
      <c r="Y386" s="486"/>
      <c r="Z386" s="485"/>
      <c r="AA386" s="485"/>
      <c r="AB386" s="485"/>
      <c r="AC386" s="486"/>
      <c r="AD386" s="486"/>
      <c r="AE386" s="486"/>
      <c r="AF386" s="485"/>
      <c r="AG386" s="486"/>
    </row>
    <row r="387" spans="1:33" s="28" customFormat="1" ht="15" customHeight="1">
      <c r="A387" s="140" t="s">
        <v>439</v>
      </c>
      <c r="B387" s="103" t="s">
        <v>455</v>
      </c>
      <c r="C387" s="142"/>
      <c r="D387" s="141">
        <v>218353</v>
      </c>
      <c r="E387" s="110">
        <v>8</v>
      </c>
      <c r="F387" s="483">
        <f t="shared" si="29"/>
        <v>224725</v>
      </c>
      <c r="G387" s="484">
        <f t="shared" si="30"/>
        <v>218410</v>
      </c>
      <c r="H387" s="485">
        <v>153789</v>
      </c>
      <c r="I387" s="486">
        <v>144739</v>
      </c>
      <c r="J387" s="485">
        <v>15311</v>
      </c>
      <c r="K387" s="486">
        <v>15930</v>
      </c>
      <c r="L387" s="485">
        <v>55625</v>
      </c>
      <c r="M387" s="485"/>
      <c r="N387" s="485"/>
      <c r="O387" s="486">
        <v>57741</v>
      </c>
      <c r="P387" s="486"/>
      <c r="Q387" s="486"/>
      <c r="R387" s="485"/>
      <c r="S387" s="486"/>
      <c r="T387" s="483">
        <f t="shared" si="31"/>
        <v>0</v>
      </c>
      <c r="U387" s="484">
        <f t="shared" si="32"/>
        <v>0</v>
      </c>
      <c r="V387" s="485"/>
      <c r="W387" s="486"/>
      <c r="X387" s="485"/>
      <c r="Y387" s="486"/>
      <c r="Z387" s="485"/>
      <c r="AA387" s="485"/>
      <c r="AB387" s="485"/>
      <c r="AC387" s="486"/>
      <c r="AD387" s="486"/>
      <c r="AE387" s="486"/>
      <c r="AF387" s="485"/>
      <c r="AG387" s="486"/>
    </row>
    <row r="388" spans="1:33" s="28" customFormat="1" ht="15" customHeight="1">
      <c r="A388" s="140" t="s">
        <v>439</v>
      </c>
      <c r="B388" s="103" t="s">
        <v>457</v>
      </c>
      <c r="C388" s="143" t="s">
        <v>973</v>
      </c>
      <c r="D388" s="141">
        <v>218885</v>
      </c>
      <c r="E388" s="144">
        <v>9</v>
      </c>
      <c r="F388" s="483">
        <f t="shared" si="29"/>
        <v>144617</v>
      </c>
      <c r="G388" s="484">
        <f t="shared" si="30"/>
        <v>143894</v>
      </c>
      <c r="H388" s="485">
        <v>103512</v>
      </c>
      <c r="I388" s="486">
        <v>99028</v>
      </c>
      <c r="J388" s="485">
        <v>6089</v>
      </c>
      <c r="K388" s="486">
        <v>6327</v>
      </c>
      <c r="L388" s="485">
        <v>35016</v>
      </c>
      <c r="M388" s="485"/>
      <c r="N388" s="485"/>
      <c r="O388" s="486">
        <v>38539</v>
      </c>
      <c r="P388" s="486"/>
      <c r="Q388" s="486"/>
      <c r="R388" s="485"/>
      <c r="S388" s="486"/>
      <c r="T388" s="483">
        <f t="shared" si="31"/>
        <v>0</v>
      </c>
      <c r="U388" s="484">
        <f t="shared" si="32"/>
        <v>0</v>
      </c>
      <c r="V388" s="485"/>
      <c r="W388" s="486"/>
      <c r="X388" s="485"/>
      <c r="Y388" s="486"/>
      <c r="Z388" s="485"/>
      <c r="AA388" s="485"/>
      <c r="AB388" s="485"/>
      <c r="AC388" s="486"/>
      <c r="AD388" s="486"/>
      <c r="AE388" s="486"/>
      <c r="AF388" s="485"/>
      <c r="AG388" s="486"/>
    </row>
    <row r="389" spans="1:33" s="28" customFormat="1" ht="15" customHeight="1">
      <c r="A389" s="140" t="s">
        <v>439</v>
      </c>
      <c r="B389" s="103" t="s">
        <v>458</v>
      </c>
      <c r="C389" s="142"/>
      <c r="D389" s="141">
        <v>218894</v>
      </c>
      <c r="E389" s="110">
        <v>8</v>
      </c>
      <c r="F389" s="483">
        <f t="shared" si="29"/>
        <v>280293</v>
      </c>
      <c r="G389" s="484">
        <f t="shared" si="30"/>
        <v>255420</v>
      </c>
      <c r="H389" s="485">
        <v>146206</v>
      </c>
      <c r="I389" s="486">
        <v>103857</v>
      </c>
      <c r="J389" s="485">
        <v>21158</v>
      </c>
      <c r="K389" s="486">
        <v>20816</v>
      </c>
      <c r="L389" s="485">
        <v>112929</v>
      </c>
      <c r="M389" s="485"/>
      <c r="N389" s="485"/>
      <c r="O389" s="486">
        <v>130747</v>
      </c>
      <c r="P389" s="486"/>
      <c r="Q389" s="486"/>
      <c r="R389" s="485"/>
      <c r="S389" s="486"/>
      <c r="T389" s="483">
        <f t="shared" si="31"/>
        <v>0</v>
      </c>
      <c r="U389" s="484">
        <f t="shared" si="32"/>
        <v>0</v>
      </c>
      <c r="V389" s="485"/>
      <c r="W389" s="486"/>
      <c r="X389" s="485"/>
      <c r="Y389" s="486"/>
      <c r="Z389" s="485"/>
      <c r="AA389" s="485"/>
      <c r="AB389" s="485"/>
      <c r="AC389" s="486"/>
      <c r="AD389" s="486"/>
      <c r="AE389" s="486"/>
      <c r="AF389" s="485"/>
      <c r="AG389" s="486"/>
    </row>
    <row r="390" spans="1:33" s="28" customFormat="1" ht="15" customHeight="1">
      <c r="A390" s="140" t="s">
        <v>439</v>
      </c>
      <c r="B390" s="103" t="s">
        <v>460</v>
      </c>
      <c r="C390" s="142"/>
      <c r="D390" s="141">
        <v>218858</v>
      </c>
      <c r="E390" s="110">
        <v>9</v>
      </c>
      <c r="F390" s="483">
        <f t="shared" si="29"/>
        <v>77357</v>
      </c>
      <c r="G390" s="484">
        <f t="shared" si="30"/>
        <v>76761</v>
      </c>
      <c r="H390" s="485">
        <v>44520</v>
      </c>
      <c r="I390" s="486">
        <v>42570</v>
      </c>
      <c r="J390" s="485">
        <v>3381</v>
      </c>
      <c r="K390" s="486">
        <v>3155</v>
      </c>
      <c r="L390" s="485">
        <v>29456</v>
      </c>
      <c r="M390" s="485"/>
      <c r="N390" s="485"/>
      <c r="O390" s="486">
        <v>31036</v>
      </c>
      <c r="P390" s="486"/>
      <c r="Q390" s="486"/>
      <c r="R390" s="485"/>
      <c r="S390" s="486"/>
      <c r="T390" s="483">
        <f t="shared" si="31"/>
        <v>0</v>
      </c>
      <c r="U390" s="484">
        <f t="shared" si="32"/>
        <v>0</v>
      </c>
      <c r="V390" s="485"/>
      <c r="W390" s="486"/>
      <c r="X390" s="485"/>
      <c r="Y390" s="486"/>
      <c r="Z390" s="485"/>
      <c r="AA390" s="485"/>
      <c r="AB390" s="485"/>
      <c r="AC390" s="486"/>
      <c r="AD390" s="486"/>
      <c r="AE390" s="486"/>
      <c r="AF390" s="485"/>
      <c r="AG390" s="486"/>
    </row>
    <row r="391" spans="1:33" s="28" customFormat="1" ht="15" customHeight="1">
      <c r="A391" s="140" t="s">
        <v>439</v>
      </c>
      <c r="B391" s="111" t="s">
        <v>452</v>
      </c>
      <c r="C391" s="143"/>
      <c r="D391" s="141">
        <v>218025</v>
      </c>
      <c r="E391" s="110">
        <v>9</v>
      </c>
      <c r="F391" s="483">
        <f t="shared" si="29"/>
        <v>101226</v>
      </c>
      <c r="G391" s="484">
        <f t="shared" si="30"/>
        <v>77988</v>
      </c>
      <c r="H391" s="485">
        <v>26736</v>
      </c>
      <c r="I391" s="486">
        <v>38487</v>
      </c>
      <c r="J391" s="485">
        <v>13229</v>
      </c>
      <c r="K391" s="486">
        <v>7034</v>
      </c>
      <c r="L391" s="485">
        <v>53060</v>
      </c>
      <c r="M391" s="485">
        <v>8201</v>
      </c>
      <c r="N391" s="485"/>
      <c r="O391" s="486">
        <v>27850</v>
      </c>
      <c r="P391" s="486">
        <v>4617</v>
      </c>
      <c r="Q391" s="486"/>
      <c r="R391" s="485"/>
      <c r="S391" s="486"/>
      <c r="T391" s="483">
        <f t="shared" si="31"/>
        <v>0</v>
      </c>
      <c r="U391" s="484">
        <f t="shared" si="32"/>
        <v>0</v>
      </c>
      <c r="V391" s="485"/>
      <c r="W391" s="486"/>
      <c r="X391" s="485"/>
      <c r="Y391" s="486"/>
      <c r="Z391" s="485"/>
      <c r="AA391" s="485"/>
      <c r="AB391" s="485"/>
      <c r="AC391" s="486"/>
      <c r="AD391" s="486"/>
      <c r="AE391" s="486"/>
      <c r="AF391" s="485"/>
      <c r="AG391" s="486"/>
    </row>
    <row r="392" spans="1:33" s="28" customFormat="1" ht="15" customHeight="1">
      <c r="A392" s="140" t="s">
        <v>439</v>
      </c>
      <c r="B392" s="103" t="s">
        <v>461</v>
      </c>
      <c r="C392" s="143" t="s">
        <v>970</v>
      </c>
      <c r="D392" s="141">
        <v>218487</v>
      </c>
      <c r="E392" s="144">
        <v>10</v>
      </c>
      <c r="F392" s="483">
        <f t="shared" si="29"/>
        <v>52581</v>
      </c>
      <c r="G392" s="484">
        <f t="shared" si="30"/>
        <v>50204</v>
      </c>
      <c r="H392" s="485">
        <v>31905</v>
      </c>
      <c r="I392" s="486">
        <v>28543</v>
      </c>
      <c r="J392" s="485">
        <v>9406</v>
      </c>
      <c r="K392" s="486">
        <v>8710</v>
      </c>
      <c r="L392" s="485">
        <v>11270</v>
      </c>
      <c r="M392" s="485"/>
      <c r="N392" s="485"/>
      <c r="O392" s="486">
        <v>12951</v>
      </c>
      <c r="P392" s="486"/>
      <c r="Q392" s="486"/>
      <c r="R392" s="485"/>
      <c r="S392" s="486"/>
      <c r="T392" s="483">
        <f t="shared" si="31"/>
        <v>0</v>
      </c>
      <c r="U392" s="484">
        <f t="shared" si="32"/>
        <v>0</v>
      </c>
      <c r="V392" s="485"/>
      <c r="W392" s="486"/>
      <c r="X392" s="485"/>
      <c r="Y392" s="486"/>
      <c r="Z392" s="485"/>
      <c r="AA392" s="485"/>
      <c r="AB392" s="485"/>
      <c r="AC392" s="486"/>
      <c r="AD392" s="486"/>
      <c r="AE392" s="486"/>
      <c r="AF392" s="485"/>
      <c r="AG392" s="486"/>
    </row>
    <row r="393" spans="1:33" s="28" customFormat="1" ht="15" customHeight="1">
      <c r="A393" s="140" t="s">
        <v>439</v>
      </c>
      <c r="B393" s="111" t="s">
        <v>456</v>
      </c>
      <c r="C393" s="143"/>
      <c r="D393" s="141">
        <v>218520</v>
      </c>
      <c r="E393" s="110">
        <v>9</v>
      </c>
      <c r="F393" s="483">
        <f t="shared" si="29"/>
        <v>101214</v>
      </c>
      <c r="G393" s="484">
        <f t="shared" si="30"/>
        <v>98532</v>
      </c>
      <c r="H393" s="485">
        <v>42513</v>
      </c>
      <c r="I393" s="486">
        <v>39325</v>
      </c>
      <c r="J393" s="485">
        <v>10335</v>
      </c>
      <c r="K393" s="486">
        <v>10595</v>
      </c>
      <c r="L393" s="485">
        <v>41992</v>
      </c>
      <c r="M393" s="485">
        <v>6374</v>
      </c>
      <c r="N393" s="485"/>
      <c r="O393" s="486">
        <v>42863</v>
      </c>
      <c r="P393" s="486">
        <v>5749</v>
      </c>
      <c r="Q393" s="486"/>
      <c r="R393" s="485"/>
      <c r="S393" s="486"/>
      <c r="T393" s="483">
        <f t="shared" si="31"/>
        <v>0</v>
      </c>
      <c r="U393" s="484">
        <f t="shared" si="32"/>
        <v>0</v>
      </c>
      <c r="V393" s="485"/>
      <c r="W393" s="486"/>
      <c r="X393" s="485"/>
      <c r="Y393" s="486"/>
      <c r="Z393" s="485"/>
      <c r="AA393" s="485"/>
      <c r="AB393" s="485"/>
      <c r="AC393" s="486"/>
      <c r="AD393" s="486"/>
      <c r="AE393" s="486"/>
      <c r="AF393" s="485"/>
      <c r="AG393" s="486"/>
    </row>
    <row r="394" spans="1:33" s="28" customFormat="1" ht="15" customHeight="1">
      <c r="A394" s="140" t="s">
        <v>439</v>
      </c>
      <c r="B394" s="111" t="s">
        <v>462</v>
      </c>
      <c r="C394" s="142"/>
      <c r="D394" s="141">
        <v>218830</v>
      </c>
      <c r="E394" s="110">
        <v>9</v>
      </c>
      <c r="F394" s="483">
        <f t="shared" si="29"/>
        <v>98877</v>
      </c>
      <c r="G394" s="484">
        <f t="shared" si="30"/>
        <v>96953</v>
      </c>
      <c r="H394" s="485">
        <v>65277</v>
      </c>
      <c r="I394" s="486">
        <v>63688</v>
      </c>
      <c r="J394" s="485">
        <v>9994</v>
      </c>
      <c r="K394" s="486">
        <v>9668</v>
      </c>
      <c r="L394" s="485">
        <v>23606</v>
      </c>
      <c r="M394" s="485"/>
      <c r="N394" s="485"/>
      <c r="O394" s="486">
        <v>23597</v>
      </c>
      <c r="P394" s="486"/>
      <c r="Q394" s="486"/>
      <c r="R394" s="485"/>
      <c r="S394" s="486"/>
      <c r="T394" s="483">
        <f t="shared" si="31"/>
        <v>0</v>
      </c>
      <c r="U394" s="484">
        <f t="shared" si="32"/>
        <v>0</v>
      </c>
      <c r="V394" s="485"/>
      <c r="W394" s="486"/>
      <c r="X394" s="485"/>
      <c r="Y394" s="486"/>
      <c r="Z394" s="485"/>
      <c r="AA394" s="485"/>
      <c r="AB394" s="485"/>
      <c r="AC394" s="486"/>
      <c r="AD394" s="486"/>
      <c r="AE394" s="486"/>
      <c r="AF394" s="485"/>
      <c r="AG394" s="486"/>
    </row>
    <row r="395" spans="1:33" s="28" customFormat="1" ht="12.75" customHeight="1">
      <c r="A395" s="140" t="s">
        <v>439</v>
      </c>
      <c r="B395" s="111" t="s">
        <v>463</v>
      </c>
      <c r="C395" s="142"/>
      <c r="D395" s="141">
        <v>218991</v>
      </c>
      <c r="E395" s="110">
        <v>9</v>
      </c>
      <c r="F395" s="483">
        <f t="shared" si="29"/>
        <v>102927</v>
      </c>
      <c r="G395" s="484">
        <f t="shared" si="30"/>
        <v>97786</v>
      </c>
      <c r="H395" s="485">
        <v>72586</v>
      </c>
      <c r="I395" s="486">
        <v>65060</v>
      </c>
      <c r="J395" s="485">
        <v>5344</v>
      </c>
      <c r="K395" s="486">
        <v>5838</v>
      </c>
      <c r="L395" s="485">
        <v>24919</v>
      </c>
      <c r="M395" s="485">
        <v>78</v>
      </c>
      <c r="N395" s="485"/>
      <c r="O395" s="486">
        <v>26888</v>
      </c>
      <c r="P395" s="486"/>
      <c r="Q395" s="486"/>
      <c r="R395" s="485"/>
      <c r="S395" s="486"/>
      <c r="T395" s="483">
        <f t="shared" si="31"/>
        <v>0</v>
      </c>
      <c r="U395" s="484">
        <f t="shared" si="32"/>
        <v>0</v>
      </c>
      <c r="V395" s="485"/>
      <c r="W395" s="486"/>
      <c r="X395" s="485"/>
      <c r="Y395" s="486"/>
      <c r="Z395" s="485"/>
      <c r="AA395" s="485"/>
      <c r="AB395" s="485"/>
      <c r="AC395" s="486"/>
      <c r="AD395" s="486"/>
      <c r="AE395" s="486"/>
      <c r="AF395" s="485"/>
      <c r="AG395" s="486"/>
    </row>
    <row r="396" spans="1:33" s="28" customFormat="1" ht="12.75" customHeight="1">
      <c r="A396" s="140" t="s">
        <v>439</v>
      </c>
      <c r="B396" s="103" t="s">
        <v>459</v>
      </c>
      <c r="C396" s="143"/>
      <c r="D396" s="141">
        <v>217615</v>
      </c>
      <c r="E396" s="110">
        <v>10</v>
      </c>
      <c r="F396" s="483">
        <f t="shared" si="29"/>
        <v>52334</v>
      </c>
      <c r="G396" s="484">
        <f t="shared" si="30"/>
        <v>49102</v>
      </c>
      <c r="H396" s="485">
        <v>36607</v>
      </c>
      <c r="I396" s="486">
        <v>34114</v>
      </c>
      <c r="J396" s="485">
        <v>1560</v>
      </c>
      <c r="K396" s="486">
        <v>1569</v>
      </c>
      <c r="L396" s="485">
        <v>14167</v>
      </c>
      <c r="M396" s="485"/>
      <c r="N396" s="485"/>
      <c r="O396" s="486">
        <v>13419</v>
      </c>
      <c r="P396" s="486"/>
      <c r="Q396" s="486"/>
      <c r="R396" s="485"/>
      <c r="S396" s="486"/>
      <c r="T396" s="483">
        <f t="shared" si="31"/>
        <v>0</v>
      </c>
      <c r="U396" s="484">
        <f t="shared" si="32"/>
        <v>0</v>
      </c>
      <c r="V396" s="485"/>
      <c r="W396" s="486"/>
      <c r="X396" s="485"/>
      <c r="Y396" s="486"/>
      <c r="Z396" s="485"/>
      <c r="AA396" s="485"/>
      <c r="AB396" s="485"/>
      <c r="AC396" s="486"/>
      <c r="AD396" s="486"/>
      <c r="AE396" s="486"/>
      <c r="AF396" s="485"/>
      <c r="AG396" s="486"/>
    </row>
    <row r="397" spans="1:33" s="28" customFormat="1" ht="12.75" customHeight="1">
      <c r="A397" s="140" t="s">
        <v>439</v>
      </c>
      <c r="B397" s="103" t="s">
        <v>464</v>
      </c>
      <c r="C397" s="112"/>
      <c r="D397" s="141">
        <v>217989</v>
      </c>
      <c r="E397" s="110">
        <v>10</v>
      </c>
      <c r="F397" s="483">
        <f t="shared" si="29"/>
        <v>15064</v>
      </c>
      <c r="G397" s="484">
        <f t="shared" si="30"/>
        <v>13691</v>
      </c>
      <c r="H397" s="485">
        <v>8529</v>
      </c>
      <c r="I397" s="486">
        <v>6522</v>
      </c>
      <c r="J397" s="485">
        <v>1818</v>
      </c>
      <c r="K397" s="486">
        <v>1232</v>
      </c>
      <c r="L397" s="485">
        <v>4717</v>
      </c>
      <c r="M397" s="485"/>
      <c r="N397" s="485"/>
      <c r="O397" s="486">
        <v>5937</v>
      </c>
      <c r="P397" s="486"/>
      <c r="Q397" s="486"/>
      <c r="R397" s="485"/>
      <c r="S397" s="486"/>
      <c r="T397" s="483">
        <f t="shared" si="31"/>
        <v>0</v>
      </c>
      <c r="U397" s="484">
        <f t="shared" si="32"/>
        <v>0</v>
      </c>
      <c r="V397" s="485"/>
      <c r="W397" s="486"/>
      <c r="X397" s="485"/>
      <c r="Y397" s="486"/>
      <c r="Z397" s="485"/>
      <c r="AA397" s="485"/>
      <c r="AB397" s="485"/>
      <c r="AC397" s="486"/>
      <c r="AD397" s="486"/>
      <c r="AE397" s="486"/>
      <c r="AF397" s="485"/>
      <c r="AG397" s="486"/>
    </row>
    <row r="398" spans="1:33">
      <c r="A398" s="140" t="s">
        <v>439</v>
      </c>
      <c r="B398" s="103" t="s">
        <v>465</v>
      </c>
      <c r="C398" s="112"/>
      <c r="D398" s="141">
        <v>217837</v>
      </c>
      <c r="E398" s="110">
        <v>10</v>
      </c>
      <c r="F398" s="483">
        <f t="shared" si="29"/>
        <v>21580</v>
      </c>
      <c r="G398" s="484">
        <f t="shared" si="30"/>
        <v>24755</v>
      </c>
      <c r="H398" s="485">
        <v>8389</v>
      </c>
      <c r="I398" s="486">
        <v>7449</v>
      </c>
      <c r="J398" s="485">
        <v>1578</v>
      </c>
      <c r="K398" s="486">
        <v>1755</v>
      </c>
      <c r="L398" s="485">
        <v>7349</v>
      </c>
      <c r="M398" s="485">
        <v>4264</v>
      </c>
      <c r="N398" s="485"/>
      <c r="O398" s="486">
        <v>11422</v>
      </c>
      <c r="P398" s="486">
        <v>4129</v>
      </c>
      <c r="Q398" s="486"/>
      <c r="R398" s="485"/>
      <c r="S398" s="486"/>
      <c r="T398" s="483">
        <f t="shared" si="31"/>
        <v>0</v>
      </c>
      <c r="U398" s="484">
        <f t="shared" si="32"/>
        <v>0</v>
      </c>
      <c r="V398" s="485"/>
      <c r="W398" s="486"/>
      <c r="X398" s="485"/>
      <c r="Y398" s="486"/>
      <c r="Z398" s="485"/>
      <c r="AA398" s="485"/>
      <c r="AB398" s="485"/>
      <c r="AC398" s="486"/>
      <c r="AD398" s="486"/>
      <c r="AE398" s="486"/>
      <c r="AF398" s="485"/>
      <c r="AG398" s="486"/>
    </row>
    <row r="399" spans="1:33" s="28" customFormat="1" ht="12.75" customHeight="1">
      <c r="A399" s="140" t="s">
        <v>439</v>
      </c>
      <c r="B399" s="103" t="s">
        <v>466</v>
      </c>
      <c r="C399" s="112"/>
      <c r="D399" s="141">
        <v>217712</v>
      </c>
      <c r="E399" s="110">
        <v>10</v>
      </c>
      <c r="F399" s="483">
        <f t="shared" si="29"/>
        <v>46430</v>
      </c>
      <c r="G399" s="484">
        <f t="shared" si="30"/>
        <v>45401</v>
      </c>
      <c r="H399" s="485">
        <v>29952</v>
      </c>
      <c r="I399" s="486">
        <v>27231</v>
      </c>
      <c r="J399" s="485">
        <v>2068</v>
      </c>
      <c r="K399" s="486">
        <v>1729</v>
      </c>
      <c r="L399" s="485">
        <v>14410</v>
      </c>
      <c r="M399" s="485"/>
      <c r="N399" s="485"/>
      <c r="O399" s="486">
        <v>16441</v>
      </c>
      <c r="P399" s="486"/>
      <c r="Q399" s="486"/>
      <c r="R399" s="485"/>
      <c r="S399" s="486"/>
      <c r="T399" s="483">
        <f t="shared" si="31"/>
        <v>0</v>
      </c>
      <c r="U399" s="484">
        <f t="shared" si="32"/>
        <v>0</v>
      </c>
      <c r="V399" s="485"/>
      <c r="W399" s="486"/>
      <c r="X399" s="485"/>
      <c r="Y399" s="486"/>
      <c r="Z399" s="485"/>
      <c r="AA399" s="485"/>
      <c r="AB399" s="485"/>
      <c r="AC399" s="486"/>
      <c r="AD399" s="486"/>
      <c r="AE399" s="486"/>
      <c r="AF399" s="485"/>
      <c r="AG399" s="486"/>
    </row>
    <row r="400" spans="1:33" s="28" customFormat="1" ht="12.75" customHeight="1">
      <c r="A400" s="140" t="s">
        <v>439</v>
      </c>
      <c r="B400" s="103" t="s">
        <v>467</v>
      </c>
      <c r="C400" s="112"/>
      <c r="D400" s="141">
        <v>218672</v>
      </c>
      <c r="E400" s="110">
        <v>10</v>
      </c>
      <c r="F400" s="483">
        <f t="shared" si="29"/>
        <v>35357</v>
      </c>
      <c r="G400" s="484">
        <f t="shared" si="30"/>
        <v>33366</v>
      </c>
      <c r="H400" s="485">
        <v>18615</v>
      </c>
      <c r="I400" s="486">
        <v>25144</v>
      </c>
      <c r="J400" s="485">
        <v>15035</v>
      </c>
      <c r="K400" s="486">
        <v>6500</v>
      </c>
      <c r="L400" s="485">
        <v>1707</v>
      </c>
      <c r="M400" s="485"/>
      <c r="N400" s="485"/>
      <c r="O400" s="486">
        <v>1722</v>
      </c>
      <c r="P400" s="486"/>
      <c r="Q400" s="486"/>
      <c r="R400" s="485"/>
      <c r="S400" s="486"/>
      <c r="T400" s="483">
        <f t="shared" si="31"/>
        <v>0</v>
      </c>
      <c r="U400" s="484">
        <f t="shared" si="32"/>
        <v>0</v>
      </c>
      <c r="V400" s="485"/>
      <c r="W400" s="486"/>
      <c r="X400" s="485"/>
      <c r="Y400" s="486"/>
      <c r="Z400" s="485"/>
      <c r="AA400" s="485"/>
      <c r="AB400" s="485"/>
      <c r="AC400" s="486"/>
      <c r="AD400" s="486"/>
      <c r="AE400" s="486"/>
      <c r="AF400" s="485"/>
      <c r="AG400" s="486"/>
    </row>
    <row r="401" spans="1:33" s="28" customFormat="1" ht="12.75" customHeight="1">
      <c r="A401" s="140" t="s">
        <v>439</v>
      </c>
      <c r="B401" s="103" t="s">
        <v>468</v>
      </c>
      <c r="C401" s="112"/>
      <c r="D401" s="141">
        <v>218681</v>
      </c>
      <c r="E401" s="110">
        <v>10</v>
      </c>
      <c r="F401" s="483">
        <f t="shared" si="29"/>
        <v>21373</v>
      </c>
      <c r="G401" s="484">
        <f t="shared" si="30"/>
        <v>20505</v>
      </c>
      <c r="H401" s="485">
        <v>15207</v>
      </c>
      <c r="I401" s="486">
        <v>14468</v>
      </c>
      <c r="J401" s="485">
        <v>3591</v>
      </c>
      <c r="K401" s="486">
        <v>3034</v>
      </c>
      <c r="L401" s="485">
        <v>2575</v>
      </c>
      <c r="M401" s="485"/>
      <c r="N401" s="485"/>
      <c r="O401" s="486">
        <v>3003</v>
      </c>
      <c r="P401" s="486"/>
      <c r="Q401" s="486"/>
      <c r="R401" s="485"/>
      <c r="S401" s="486"/>
      <c r="T401" s="483">
        <f t="shared" si="31"/>
        <v>0</v>
      </c>
      <c r="U401" s="484">
        <f t="shared" si="32"/>
        <v>0</v>
      </c>
      <c r="V401" s="485"/>
      <c r="W401" s="486"/>
      <c r="X401" s="485"/>
      <c r="Y401" s="486"/>
      <c r="Z401" s="485"/>
      <c r="AA401" s="485"/>
      <c r="AB401" s="485"/>
      <c r="AC401" s="486"/>
      <c r="AD401" s="486"/>
      <c r="AE401" s="486"/>
      <c r="AF401" s="485"/>
      <c r="AG401" s="486"/>
    </row>
    <row r="402" spans="1:33" ht="15">
      <c r="A402" s="140" t="s">
        <v>439</v>
      </c>
      <c r="B402" s="103" t="s">
        <v>469</v>
      </c>
      <c r="C402" s="142"/>
      <c r="D402" s="141">
        <v>218690</v>
      </c>
      <c r="E402" s="110">
        <v>10</v>
      </c>
      <c r="F402" s="483">
        <f t="shared" si="29"/>
        <v>21454</v>
      </c>
      <c r="G402" s="484">
        <f t="shared" si="30"/>
        <v>23229</v>
      </c>
      <c r="H402" s="485">
        <v>17400</v>
      </c>
      <c r="I402" s="486">
        <v>17239</v>
      </c>
      <c r="J402" s="485">
        <v>1504</v>
      </c>
      <c r="K402" s="486">
        <v>2615</v>
      </c>
      <c r="L402" s="485">
        <v>2550</v>
      </c>
      <c r="M402" s="485"/>
      <c r="N402" s="485"/>
      <c r="O402" s="486">
        <v>3375</v>
      </c>
      <c r="P402" s="486"/>
      <c r="Q402" s="486"/>
      <c r="R402" s="485"/>
      <c r="S402" s="486"/>
      <c r="T402" s="483">
        <f t="shared" si="31"/>
        <v>0</v>
      </c>
      <c r="U402" s="484">
        <f t="shared" si="32"/>
        <v>0</v>
      </c>
      <c r="V402" s="485"/>
      <c r="W402" s="486"/>
      <c r="X402" s="485"/>
      <c r="Y402" s="486"/>
      <c r="Z402" s="485"/>
      <c r="AA402" s="485"/>
      <c r="AB402" s="485"/>
      <c r="AC402" s="486"/>
      <c r="AD402" s="486"/>
      <c r="AE402" s="486"/>
      <c r="AF402" s="485"/>
      <c r="AG402" s="486"/>
    </row>
    <row r="403" spans="1:33" ht="15">
      <c r="A403" s="140" t="s">
        <v>439</v>
      </c>
      <c r="B403" s="103" t="s">
        <v>470</v>
      </c>
      <c r="C403" s="142"/>
      <c r="D403" s="141">
        <v>218706</v>
      </c>
      <c r="E403" s="110">
        <v>10</v>
      </c>
      <c r="F403" s="483">
        <f t="shared" si="29"/>
        <v>15261</v>
      </c>
      <c r="G403" s="484">
        <f t="shared" si="30"/>
        <v>18318</v>
      </c>
      <c r="H403" s="485">
        <v>7972</v>
      </c>
      <c r="I403" s="486">
        <v>9669</v>
      </c>
      <c r="J403" s="485">
        <v>7139</v>
      </c>
      <c r="K403" s="486">
        <v>8607</v>
      </c>
      <c r="L403" s="485">
        <v>150</v>
      </c>
      <c r="M403" s="485"/>
      <c r="N403" s="485"/>
      <c r="O403" s="486">
        <v>42</v>
      </c>
      <c r="P403" s="486"/>
      <c r="Q403" s="486"/>
      <c r="R403" s="485"/>
      <c r="S403" s="486"/>
      <c r="T403" s="483">
        <f t="shared" si="31"/>
        <v>0</v>
      </c>
      <c r="U403" s="484">
        <f t="shared" si="32"/>
        <v>0</v>
      </c>
      <c r="V403" s="485"/>
      <c r="W403" s="486"/>
      <c r="X403" s="485"/>
      <c r="Y403" s="486"/>
      <c r="Z403" s="485"/>
      <c r="AA403" s="485"/>
      <c r="AB403" s="485"/>
      <c r="AC403" s="486"/>
      <c r="AD403" s="486"/>
      <c r="AE403" s="486"/>
      <c r="AF403" s="485"/>
      <c r="AG403" s="486"/>
    </row>
    <row r="404" spans="1:33" ht="15">
      <c r="A404" s="140" t="s">
        <v>439</v>
      </c>
      <c r="B404" s="103" t="s">
        <v>471</v>
      </c>
      <c r="C404" s="142"/>
      <c r="D404" s="141">
        <v>218955</v>
      </c>
      <c r="E404" s="110">
        <v>10</v>
      </c>
      <c r="F404" s="483">
        <f t="shared" si="29"/>
        <v>13723</v>
      </c>
      <c r="G404" s="484">
        <f t="shared" si="30"/>
        <v>14780</v>
      </c>
      <c r="H404" s="485">
        <v>10333</v>
      </c>
      <c r="I404" s="486">
        <v>10786</v>
      </c>
      <c r="J404" s="485">
        <v>2991</v>
      </c>
      <c r="K404" s="486">
        <v>3112</v>
      </c>
      <c r="L404" s="485">
        <v>399</v>
      </c>
      <c r="M404" s="485"/>
      <c r="N404" s="485"/>
      <c r="O404" s="486">
        <v>882</v>
      </c>
      <c r="P404" s="486"/>
      <c r="Q404" s="486"/>
      <c r="R404" s="485"/>
      <c r="S404" s="486"/>
      <c r="T404" s="483">
        <f t="shared" si="31"/>
        <v>0</v>
      </c>
      <c r="U404" s="484">
        <f t="shared" si="32"/>
        <v>0</v>
      </c>
      <c r="V404" s="485"/>
      <c r="W404" s="486"/>
      <c r="X404" s="485"/>
      <c r="Y404" s="486"/>
      <c r="Z404" s="485"/>
      <c r="AA404" s="485"/>
      <c r="AB404" s="485"/>
      <c r="AC404" s="486"/>
      <c r="AD404" s="486"/>
      <c r="AE404" s="486"/>
      <c r="AF404" s="485"/>
      <c r="AG404" s="486"/>
    </row>
    <row r="405" spans="1:33" s="28" customFormat="1" ht="13.5" customHeight="1">
      <c r="A405" s="3" t="s">
        <v>472</v>
      </c>
      <c r="B405" s="2" t="s">
        <v>473</v>
      </c>
      <c r="C405" s="1"/>
      <c r="D405" s="66">
        <v>220862</v>
      </c>
      <c r="E405" s="66">
        <v>1</v>
      </c>
      <c r="F405" s="483">
        <f t="shared" si="29"/>
        <v>414680</v>
      </c>
      <c r="G405" s="484">
        <f t="shared" si="30"/>
        <v>405823</v>
      </c>
      <c r="H405" s="485">
        <v>283965</v>
      </c>
      <c r="I405" s="486">
        <v>261130</v>
      </c>
      <c r="J405" s="485">
        <v>18654</v>
      </c>
      <c r="K405" s="486">
        <v>19140</v>
      </c>
      <c r="L405" s="485">
        <v>77205</v>
      </c>
      <c r="M405" s="485">
        <v>352</v>
      </c>
      <c r="N405" s="485">
        <v>32389</v>
      </c>
      <c r="O405" s="486">
        <v>88562</v>
      </c>
      <c r="P405" s="486">
        <v>138</v>
      </c>
      <c r="Q405" s="486">
        <v>35045</v>
      </c>
      <c r="R405" s="485">
        <v>2115</v>
      </c>
      <c r="S405" s="486">
        <v>1808</v>
      </c>
      <c r="T405" s="483">
        <f t="shared" si="31"/>
        <v>60369</v>
      </c>
      <c r="U405" s="484">
        <f t="shared" si="32"/>
        <v>61806</v>
      </c>
      <c r="V405" s="485">
        <v>35820</v>
      </c>
      <c r="W405" s="486">
        <v>34604</v>
      </c>
      <c r="X405" s="485">
        <v>276</v>
      </c>
      <c r="Y405" s="486">
        <v>114</v>
      </c>
      <c r="Z405" s="485">
        <v>18099</v>
      </c>
      <c r="AA405" s="485">
        <v>165</v>
      </c>
      <c r="AB405" s="485">
        <v>3236</v>
      </c>
      <c r="AC405" s="486">
        <v>20377</v>
      </c>
      <c r="AD405" s="486">
        <v>165</v>
      </c>
      <c r="AE405" s="486">
        <v>3385</v>
      </c>
      <c r="AF405" s="485">
        <v>2773</v>
      </c>
      <c r="AG405" s="486">
        <v>3161</v>
      </c>
    </row>
    <row r="406" spans="1:33" s="28" customFormat="1" ht="12.75" customHeight="1">
      <c r="A406" s="67" t="s">
        <v>472</v>
      </c>
      <c r="B406" s="2" t="s">
        <v>474</v>
      </c>
      <c r="C406" s="68"/>
      <c r="D406" s="66">
        <v>221759</v>
      </c>
      <c r="E406" s="66">
        <v>1</v>
      </c>
      <c r="F406" s="483">
        <f t="shared" si="29"/>
        <v>618176</v>
      </c>
      <c r="G406" s="484">
        <f t="shared" si="30"/>
        <v>629213</v>
      </c>
      <c r="H406" s="485">
        <v>582865</v>
      </c>
      <c r="I406" s="486">
        <v>586800</v>
      </c>
      <c r="J406" s="485">
        <v>24</v>
      </c>
      <c r="K406" s="486">
        <v>0</v>
      </c>
      <c r="L406" s="485">
        <v>30185</v>
      </c>
      <c r="M406" s="485">
        <v>0</v>
      </c>
      <c r="N406" s="485">
        <v>1691</v>
      </c>
      <c r="O406" s="486">
        <v>37535</v>
      </c>
      <c r="P406" s="486">
        <v>0</v>
      </c>
      <c r="Q406" s="486">
        <v>1398</v>
      </c>
      <c r="R406" s="485">
        <v>3411</v>
      </c>
      <c r="S406" s="486">
        <v>3480</v>
      </c>
      <c r="T406" s="483">
        <f t="shared" si="31"/>
        <v>89553</v>
      </c>
      <c r="U406" s="484">
        <f t="shared" si="32"/>
        <v>89466</v>
      </c>
      <c r="V406" s="485">
        <v>67797</v>
      </c>
      <c r="W406" s="486">
        <v>67421</v>
      </c>
      <c r="X406" s="485">
        <v>2771</v>
      </c>
      <c r="Y406" s="486">
        <v>2210</v>
      </c>
      <c r="Z406" s="485">
        <v>15650</v>
      </c>
      <c r="AA406" s="485">
        <v>6</v>
      </c>
      <c r="AB406" s="485">
        <v>1204</v>
      </c>
      <c r="AC406" s="486">
        <v>16620</v>
      </c>
      <c r="AD406" s="486">
        <v>0</v>
      </c>
      <c r="AE406" s="486">
        <v>1059</v>
      </c>
      <c r="AF406" s="485">
        <v>2125</v>
      </c>
      <c r="AG406" s="486">
        <v>2156</v>
      </c>
    </row>
    <row r="407" spans="1:33" s="28" customFormat="1" ht="12.75" customHeight="1">
      <c r="A407" s="67" t="s">
        <v>472</v>
      </c>
      <c r="B407" s="69" t="s">
        <v>475</v>
      </c>
      <c r="C407" s="70"/>
      <c r="D407" s="66">
        <v>220075</v>
      </c>
      <c r="E407" s="66">
        <v>2</v>
      </c>
      <c r="F407" s="483">
        <f t="shared" si="29"/>
        <v>303195</v>
      </c>
      <c r="G407" s="484">
        <f t="shared" si="30"/>
        <v>304480</v>
      </c>
      <c r="H407" s="485">
        <v>200728</v>
      </c>
      <c r="I407" s="486">
        <v>192301</v>
      </c>
      <c r="J407" s="485">
        <v>9984</v>
      </c>
      <c r="K407" s="486">
        <v>11280</v>
      </c>
      <c r="L407" s="485">
        <v>68339</v>
      </c>
      <c r="M407" s="485">
        <v>6398</v>
      </c>
      <c r="N407" s="485">
        <v>15736</v>
      </c>
      <c r="O407" s="486">
        <v>75284</v>
      </c>
      <c r="P407" s="486">
        <v>7020</v>
      </c>
      <c r="Q407" s="486">
        <v>16131</v>
      </c>
      <c r="R407" s="485">
        <v>2010</v>
      </c>
      <c r="S407" s="486">
        <v>2464</v>
      </c>
      <c r="T407" s="483">
        <f t="shared" si="31"/>
        <v>43302</v>
      </c>
      <c r="U407" s="484">
        <f t="shared" si="32"/>
        <v>45590</v>
      </c>
      <c r="V407" s="485">
        <v>18041</v>
      </c>
      <c r="W407" s="486">
        <v>18085</v>
      </c>
      <c r="X407" s="485">
        <v>1410</v>
      </c>
      <c r="Y407" s="486">
        <v>1326</v>
      </c>
      <c r="Z407" s="485">
        <v>19738</v>
      </c>
      <c r="AA407" s="485">
        <v>267</v>
      </c>
      <c r="AB407" s="485">
        <v>1180</v>
      </c>
      <c r="AC407" s="486">
        <v>22285</v>
      </c>
      <c r="AD407" s="486">
        <v>240</v>
      </c>
      <c r="AE407" s="486">
        <v>1298</v>
      </c>
      <c r="AF407" s="485">
        <v>2666</v>
      </c>
      <c r="AG407" s="486">
        <v>2356</v>
      </c>
    </row>
    <row r="408" spans="1:33" s="28" customFormat="1" ht="12.75" customHeight="1">
      <c r="A408" s="3" t="s">
        <v>472</v>
      </c>
      <c r="B408" s="69" t="s">
        <v>478</v>
      </c>
      <c r="C408" s="114"/>
      <c r="D408" s="66">
        <v>220978</v>
      </c>
      <c r="E408" s="66">
        <v>2</v>
      </c>
      <c r="F408" s="483">
        <f t="shared" si="29"/>
        <v>502421</v>
      </c>
      <c r="G408" s="484">
        <f t="shared" si="30"/>
        <v>499469</v>
      </c>
      <c r="H408" s="485">
        <v>404411</v>
      </c>
      <c r="I408" s="486">
        <v>392181</v>
      </c>
      <c r="J408" s="485">
        <v>4166</v>
      </c>
      <c r="K408" s="486">
        <v>5932</v>
      </c>
      <c r="L408" s="485">
        <v>71150</v>
      </c>
      <c r="M408" s="485">
        <v>289</v>
      </c>
      <c r="N408" s="485">
        <v>18681</v>
      </c>
      <c r="O408" s="486">
        <v>77579</v>
      </c>
      <c r="P408" s="486">
        <v>103</v>
      </c>
      <c r="Q408" s="486">
        <v>19652</v>
      </c>
      <c r="R408" s="485">
        <v>3724</v>
      </c>
      <c r="S408" s="486">
        <v>4022</v>
      </c>
      <c r="T408" s="483">
        <f t="shared" si="31"/>
        <v>35833</v>
      </c>
      <c r="U408" s="484">
        <f t="shared" si="32"/>
        <v>35554</v>
      </c>
      <c r="V408" s="485">
        <v>20599</v>
      </c>
      <c r="W408" s="486">
        <v>19902</v>
      </c>
      <c r="X408" s="485">
        <v>2698</v>
      </c>
      <c r="Y408" s="486">
        <v>2128</v>
      </c>
      <c r="Z408" s="485">
        <v>9838</v>
      </c>
      <c r="AA408" s="485">
        <v>0</v>
      </c>
      <c r="AB408" s="485">
        <v>886</v>
      </c>
      <c r="AC408" s="486">
        <v>11228</v>
      </c>
      <c r="AD408" s="486">
        <v>0</v>
      </c>
      <c r="AE408" s="486">
        <v>657</v>
      </c>
      <c r="AF408" s="485">
        <v>1812</v>
      </c>
      <c r="AG408" s="486">
        <v>1639</v>
      </c>
    </row>
    <row r="409" spans="1:33" s="28" customFormat="1" ht="12.75" customHeight="1">
      <c r="A409" s="67" t="s">
        <v>472</v>
      </c>
      <c r="B409" s="2" t="s">
        <v>476</v>
      </c>
      <c r="C409" s="1"/>
      <c r="D409" s="66">
        <v>221838</v>
      </c>
      <c r="E409" s="66">
        <v>2</v>
      </c>
      <c r="F409" s="483">
        <f t="shared" si="29"/>
        <v>180535</v>
      </c>
      <c r="G409" s="484">
        <f t="shared" si="30"/>
        <v>167380</v>
      </c>
      <c r="H409" s="485">
        <v>142969</v>
      </c>
      <c r="I409" s="486">
        <v>129995</v>
      </c>
      <c r="J409" s="485">
        <v>20387</v>
      </c>
      <c r="K409" s="486">
        <v>18872</v>
      </c>
      <c r="L409" s="485">
        <v>14479</v>
      </c>
      <c r="M409" s="485">
        <v>15</v>
      </c>
      <c r="N409" s="485">
        <v>2194</v>
      </c>
      <c r="O409" s="486">
        <v>15669</v>
      </c>
      <c r="P409" s="486">
        <v>0</v>
      </c>
      <c r="Q409" s="486">
        <v>2397</v>
      </c>
      <c r="R409" s="485">
        <v>491</v>
      </c>
      <c r="S409" s="486">
        <v>447</v>
      </c>
      <c r="T409" s="483">
        <f t="shared" si="31"/>
        <v>24246</v>
      </c>
      <c r="U409" s="484">
        <f t="shared" si="32"/>
        <v>22810</v>
      </c>
      <c r="V409" s="485">
        <v>11715</v>
      </c>
      <c r="W409" s="486">
        <v>11288</v>
      </c>
      <c r="X409" s="485">
        <v>5886</v>
      </c>
      <c r="Y409" s="486">
        <v>5681</v>
      </c>
      <c r="Z409" s="485">
        <v>5112</v>
      </c>
      <c r="AA409" s="485">
        <v>0</v>
      </c>
      <c r="AB409" s="485">
        <v>926</v>
      </c>
      <c r="AC409" s="486">
        <v>4413</v>
      </c>
      <c r="AD409" s="486">
        <v>0</v>
      </c>
      <c r="AE409" s="486">
        <v>892</v>
      </c>
      <c r="AF409" s="485">
        <v>607</v>
      </c>
      <c r="AG409" s="486">
        <v>536</v>
      </c>
    </row>
    <row r="410" spans="1:33" s="28" customFormat="1" ht="15" customHeight="1">
      <c r="A410" s="67" t="s">
        <v>472</v>
      </c>
      <c r="B410" s="2" t="s">
        <v>477</v>
      </c>
      <c r="C410" s="68"/>
      <c r="D410" s="66">
        <v>219602</v>
      </c>
      <c r="E410" s="66">
        <v>3</v>
      </c>
      <c r="F410" s="483">
        <f t="shared" si="29"/>
        <v>240233</v>
      </c>
      <c r="G410" s="484">
        <f t="shared" si="30"/>
        <v>250666</v>
      </c>
      <c r="H410" s="485">
        <v>150004</v>
      </c>
      <c r="I410" s="486">
        <v>155276</v>
      </c>
      <c r="J410" s="485">
        <v>10736</v>
      </c>
      <c r="K410" s="486">
        <v>11898</v>
      </c>
      <c r="L410" s="485">
        <v>62857</v>
      </c>
      <c r="M410" s="485">
        <v>0</v>
      </c>
      <c r="N410" s="485">
        <v>14770</v>
      </c>
      <c r="O410" s="486">
        <v>68622</v>
      </c>
      <c r="P410" s="486">
        <v>0</v>
      </c>
      <c r="Q410" s="486">
        <v>13101</v>
      </c>
      <c r="R410" s="485">
        <v>1866</v>
      </c>
      <c r="S410" s="486">
        <v>1769</v>
      </c>
      <c r="T410" s="483">
        <f t="shared" si="31"/>
        <v>14593</v>
      </c>
      <c r="U410" s="484">
        <f t="shared" si="32"/>
        <v>17800</v>
      </c>
      <c r="V410" s="485">
        <v>4244</v>
      </c>
      <c r="W410" s="486">
        <v>4925</v>
      </c>
      <c r="X410" s="485">
        <v>109</v>
      </c>
      <c r="Y410" s="486">
        <v>42</v>
      </c>
      <c r="Z410" s="485">
        <v>9536</v>
      </c>
      <c r="AA410" s="485">
        <v>0</v>
      </c>
      <c r="AB410" s="485">
        <v>245</v>
      </c>
      <c r="AC410" s="486">
        <v>11911</v>
      </c>
      <c r="AD410" s="486">
        <v>0</v>
      </c>
      <c r="AE410" s="486">
        <v>533</v>
      </c>
      <c r="AF410" s="485">
        <v>459</v>
      </c>
      <c r="AG410" s="486">
        <v>389</v>
      </c>
    </row>
    <row r="411" spans="1:33" s="28" customFormat="1" ht="15" customHeight="1">
      <c r="A411" s="3" t="s">
        <v>472</v>
      </c>
      <c r="B411" s="2" t="s">
        <v>479</v>
      </c>
      <c r="C411" s="145"/>
      <c r="D411" s="66">
        <v>221847</v>
      </c>
      <c r="E411" s="66">
        <v>3</v>
      </c>
      <c r="F411" s="483">
        <f t="shared" si="29"/>
        <v>251766</v>
      </c>
      <c r="G411" s="484">
        <f t="shared" si="30"/>
        <v>247503</v>
      </c>
      <c r="H411" s="485">
        <v>157641</v>
      </c>
      <c r="I411" s="486">
        <v>149041</v>
      </c>
      <c r="J411" s="485">
        <v>3583</v>
      </c>
      <c r="K411" s="486">
        <v>6072</v>
      </c>
      <c r="L411" s="485">
        <v>19529</v>
      </c>
      <c r="M411" s="485">
        <v>0</v>
      </c>
      <c r="N411" s="485">
        <v>67586</v>
      </c>
      <c r="O411" s="486">
        <v>25178</v>
      </c>
      <c r="P411" s="486">
        <v>0</v>
      </c>
      <c r="Q411" s="486">
        <v>63946</v>
      </c>
      <c r="R411" s="485">
        <v>3427</v>
      </c>
      <c r="S411" s="486">
        <v>3266</v>
      </c>
      <c r="T411" s="483">
        <f t="shared" si="31"/>
        <v>15547</v>
      </c>
      <c r="U411" s="484">
        <f t="shared" si="32"/>
        <v>16119</v>
      </c>
      <c r="V411" s="485">
        <v>3590</v>
      </c>
      <c r="W411" s="486">
        <v>3510</v>
      </c>
      <c r="X411" s="485">
        <v>84</v>
      </c>
      <c r="Y411" s="486">
        <v>111</v>
      </c>
      <c r="Z411" s="485">
        <v>9203</v>
      </c>
      <c r="AA411" s="485">
        <v>0</v>
      </c>
      <c r="AB411" s="485">
        <v>1660</v>
      </c>
      <c r="AC411" s="486">
        <v>9617</v>
      </c>
      <c r="AD411" s="486">
        <v>0</v>
      </c>
      <c r="AE411" s="486">
        <v>1956</v>
      </c>
      <c r="AF411" s="485">
        <v>1010</v>
      </c>
      <c r="AG411" s="486">
        <v>925</v>
      </c>
    </row>
    <row r="412" spans="1:33" s="28" customFormat="1" ht="15" customHeight="1">
      <c r="A412" s="67" t="s">
        <v>472</v>
      </c>
      <c r="B412" s="2" t="s">
        <v>480</v>
      </c>
      <c r="C412" s="145"/>
      <c r="D412" s="66">
        <v>221740</v>
      </c>
      <c r="E412" s="66">
        <v>3</v>
      </c>
      <c r="F412" s="483">
        <f t="shared" si="29"/>
        <v>277997</v>
      </c>
      <c r="G412" s="484">
        <f t="shared" si="30"/>
        <v>281364</v>
      </c>
      <c r="H412" s="485">
        <v>224718</v>
      </c>
      <c r="I412" s="486">
        <v>226507</v>
      </c>
      <c r="J412" s="485">
        <v>2733</v>
      </c>
      <c r="K412" s="486">
        <v>566</v>
      </c>
      <c r="L412" s="485">
        <v>49482</v>
      </c>
      <c r="M412" s="485">
        <v>0</v>
      </c>
      <c r="N412" s="485">
        <v>18</v>
      </c>
      <c r="O412" s="486">
        <v>53123</v>
      </c>
      <c r="P412" s="486">
        <v>0</v>
      </c>
      <c r="Q412" s="486">
        <v>30</v>
      </c>
      <c r="R412" s="485">
        <v>1046</v>
      </c>
      <c r="S412" s="486">
        <v>1138</v>
      </c>
      <c r="T412" s="483">
        <f t="shared" si="31"/>
        <v>26381</v>
      </c>
      <c r="U412" s="484">
        <f t="shared" si="32"/>
        <v>27042</v>
      </c>
      <c r="V412" s="485">
        <v>16732</v>
      </c>
      <c r="W412" s="486">
        <v>16993</v>
      </c>
      <c r="X412" s="485">
        <v>0</v>
      </c>
      <c r="Y412" s="486">
        <v>0</v>
      </c>
      <c r="Z412" s="485">
        <v>9404</v>
      </c>
      <c r="AA412" s="485">
        <v>6</v>
      </c>
      <c r="AB412" s="485">
        <v>0</v>
      </c>
      <c r="AC412" s="486">
        <v>9669</v>
      </c>
      <c r="AD412" s="486">
        <v>0</v>
      </c>
      <c r="AE412" s="486">
        <v>0</v>
      </c>
      <c r="AF412" s="485">
        <v>239</v>
      </c>
      <c r="AG412" s="486">
        <v>380</v>
      </c>
    </row>
    <row r="413" spans="1:33" s="28" customFormat="1" ht="15" customHeight="1">
      <c r="A413" s="67" t="s">
        <v>472</v>
      </c>
      <c r="B413" s="69" t="s">
        <v>481</v>
      </c>
      <c r="C413" s="145" t="s">
        <v>935</v>
      </c>
      <c r="D413" s="66">
        <v>221768</v>
      </c>
      <c r="E413" s="66">
        <v>5</v>
      </c>
      <c r="F413" s="483">
        <f t="shared" si="29"/>
        <v>164451</v>
      </c>
      <c r="G413" s="484">
        <f t="shared" si="30"/>
        <v>164329</v>
      </c>
      <c r="H413" s="485">
        <v>132162</v>
      </c>
      <c r="I413" s="486">
        <v>121607</v>
      </c>
      <c r="J413" s="485">
        <v>7228</v>
      </c>
      <c r="K413" s="486">
        <v>12912</v>
      </c>
      <c r="L413" s="485">
        <v>21021</v>
      </c>
      <c r="M413" s="485">
        <v>3829</v>
      </c>
      <c r="N413" s="485">
        <v>24</v>
      </c>
      <c r="O413" s="486">
        <v>25943</v>
      </c>
      <c r="P413" s="486">
        <v>3647</v>
      </c>
      <c r="Q413" s="486">
        <v>53</v>
      </c>
      <c r="R413" s="485">
        <v>187</v>
      </c>
      <c r="S413" s="486">
        <v>167</v>
      </c>
      <c r="T413" s="483">
        <f t="shared" si="31"/>
        <v>6757</v>
      </c>
      <c r="U413" s="484">
        <f t="shared" si="32"/>
        <v>5602</v>
      </c>
      <c r="V413" s="485">
        <v>880</v>
      </c>
      <c r="W413" s="486">
        <v>824</v>
      </c>
      <c r="X413" s="485">
        <v>0</v>
      </c>
      <c r="Y413" s="486">
        <v>0</v>
      </c>
      <c r="Z413" s="485">
        <v>5877</v>
      </c>
      <c r="AA413" s="485">
        <v>0</v>
      </c>
      <c r="AB413" s="485">
        <v>0</v>
      </c>
      <c r="AC413" s="486">
        <v>4775</v>
      </c>
      <c r="AD413" s="486">
        <v>0</v>
      </c>
      <c r="AE413" s="486">
        <v>3</v>
      </c>
      <c r="AF413" s="485">
        <v>0</v>
      </c>
      <c r="AG413" s="486">
        <v>0</v>
      </c>
    </row>
    <row r="414" spans="1:33" s="28" customFormat="1" ht="15" customHeight="1">
      <c r="A414" s="3" t="s">
        <v>472</v>
      </c>
      <c r="B414" s="2" t="s">
        <v>482</v>
      </c>
      <c r="C414" s="145"/>
      <c r="D414" s="66">
        <v>219824</v>
      </c>
      <c r="E414" s="66">
        <v>8</v>
      </c>
      <c r="F414" s="483">
        <f t="shared" si="29"/>
        <v>165710</v>
      </c>
      <c r="G414" s="484">
        <f t="shared" si="30"/>
        <v>166483</v>
      </c>
      <c r="H414" s="485">
        <v>98756</v>
      </c>
      <c r="I414" s="486">
        <v>98552</v>
      </c>
      <c r="J414" s="485">
        <v>10749</v>
      </c>
      <c r="K414" s="486">
        <v>10905</v>
      </c>
      <c r="L414" s="485">
        <v>41416</v>
      </c>
      <c r="M414" s="485">
        <v>0</v>
      </c>
      <c r="N414" s="485">
        <v>14575</v>
      </c>
      <c r="O414" s="486">
        <v>44075</v>
      </c>
      <c r="P414" s="486">
        <v>0</v>
      </c>
      <c r="Q414" s="486">
        <v>12515</v>
      </c>
      <c r="R414" s="485">
        <v>214</v>
      </c>
      <c r="S414" s="486">
        <v>436</v>
      </c>
      <c r="T414" s="483">
        <f t="shared" si="31"/>
        <v>0</v>
      </c>
      <c r="U414" s="484">
        <f t="shared" si="32"/>
        <v>0</v>
      </c>
      <c r="V414" s="485"/>
      <c r="W414" s="486"/>
      <c r="X414" s="485"/>
      <c r="Y414" s="486"/>
      <c r="Z414" s="485"/>
      <c r="AA414" s="485"/>
      <c r="AB414" s="485"/>
      <c r="AC414" s="486"/>
      <c r="AD414" s="486"/>
      <c r="AE414" s="486"/>
      <c r="AF414" s="485"/>
      <c r="AG414" s="486"/>
    </row>
    <row r="415" spans="1:33" s="28" customFormat="1" ht="15" customHeight="1">
      <c r="A415" s="67" t="s">
        <v>472</v>
      </c>
      <c r="B415" s="2" t="s">
        <v>483</v>
      </c>
      <c r="C415" s="145"/>
      <c r="D415" s="66">
        <v>221184</v>
      </c>
      <c r="E415" s="66">
        <v>8</v>
      </c>
      <c r="F415" s="483">
        <f t="shared" si="29"/>
        <v>164329</v>
      </c>
      <c r="G415" s="484">
        <f t="shared" si="30"/>
        <v>156830</v>
      </c>
      <c r="H415" s="485">
        <v>62165</v>
      </c>
      <c r="I415" s="486">
        <v>56816</v>
      </c>
      <c r="J415" s="485">
        <v>61709</v>
      </c>
      <c r="K415" s="486">
        <v>60531</v>
      </c>
      <c r="L415" s="485">
        <v>36777</v>
      </c>
      <c r="M415" s="485">
        <v>0</v>
      </c>
      <c r="N415" s="485">
        <v>3552</v>
      </c>
      <c r="O415" s="486">
        <v>35045</v>
      </c>
      <c r="P415" s="486">
        <v>0</v>
      </c>
      <c r="Q415" s="486">
        <v>4244</v>
      </c>
      <c r="R415" s="485">
        <v>126</v>
      </c>
      <c r="S415" s="486">
        <v>194</v>
      </c>
      <c r="T415" s="483">
        <f t="shared" si="31"/>
        <v>0</v>
      </c>
      <c r="U415" s="484">
        <f t="shared" si="32"/>
        <v>0</v>
      </c>
      <c r="V415" s="485"/>
      <c r="W415" s="486"/>
      <c r="X415" s="485"/>
      <c r="Y415" s="486"/>
      <c r="Z415" s="485"/>
      <c r="AA415" s="485"/>
      <c r="AB415" s="485"/>
      <c r="AC415" s="486"/>
      <c r="AD415" s="486"/>
      <c r="AE415" s="486"/>
      <c r="AF415" s="485"/>
      <c r="AG415" s="486"/>
    </row>
    <row r="416" spans="1:33" s="28" customFormat="1" ht="15" customHeight="1">
      <c r="A416" s="67" t="s">
        <v>472</v>
      </c>
      <c r="B416" s="69" t="s">
        <v>484</v>
      </c>
      <c r="C416" s="145"/>
      <c r="D416" s="66">
        <v>221643</v>
      </c>
      <c r="E416" s="66">
        <v>8</v>
      </c>
      <c r="F416" s="483">
        <f t="shared" ref="F416:F479" si="33">SUM(H416,J416,L416,M416,N416,R416)</f>
        <v>210687</v>
      </c>
      <c r="G416" s="484">
        <f t="shared" ref="G416:G479" si="34">SUM(I416,K416,O416,P416,Q416,S416)</f>
        <v>220581</v>
      </c>
      <c r="H416" s="485">
        <v>112782</v>
      </c>
      <c r="I416" s="486">
        <v>113793</v>
      </c>
      <c r="J416" s="485">
        <v>58784</v>
      </c>
      <c r="K416" s="486">
        <v>60060</v>
      </c>
      <c r="L416" s="485">
        <v>34029</v>
      </c>
      <c r="M416" s="485">
        <v>354</v>
      </c>
      <c r="N416" s="485">
        <v>4621</v>
      </c>
      <c r="O416" s="486">
        <v>40285</v>
      </c>
      <c r="P416" s="486">
        <v>0</v>
      </c>
      <c r="Q416" s="486">
        <v>6299</v>
      </c>
      <c r="R416" s="485">
        <v>117</v>
      </c>
      <c r="S416" s="486">
        <v>144</v>
      </c>
      <c r="T416" s="483">
        <f t="shared" ref="T416:T479" si="35">SUM(V416,X416,Z416,AA416,AB416,AF416)</f>
        <v>0</v>
      </c>
      <c r="U416" s="484">
        <f t="shared" si="32"/>
        <v>0</v>
      </c>
      <c r="V416" s="485"/>
      <c r="W416" s="486"/>
      <c r="X416" s="485"/>
      <c r="Y416" s="486"/>
      <c r="Z416" s="485"/>
      <c r="AA416" s="485"/>
      <c r="AB416" s="485"/>
      <c r="AC416" s="486"/>
      <c r="AD416" s="486"/>
      <c r="AE416" s="486"/>
      <c r="AF416" s="485"/>
      <c r="AG416" s="486"/>
    </row>
    <row r="417" spans="1:33" s="28" customFormat="1" ht="15" customHeight="1">
      <c r="A417" s="3" t="s">
        <v>472</v>
      </c>
      <c r="B417" s="2" t="s">
        <v>485</v>
      </c>
      <c r="C417" s="145"/>
      <c r="D417" s="66">
        <v>221485</v>
      </c>
      <c r="E417" s="66">
        <v>8</v>
      </c>
      <c r="F417" s="483">
        <f t="shared" si="33"/>
        <v>154526</v>
      </c>
      <c r="G417" s="484">
        <f t="shared" si="34"/>
        <v>161123</v>
      </c>
      <c r="H417" s="485">
        <v>0</v>
      </c>
      <c r="I417" s="486">
        <v>0</v>
      </c>
      <c r="J417" s="485">
        <v>116551</v>
      </c>
      <c r="K417" s="486">
        <v>115976</v>
      </c>
      <c r="L417" s="485">
        <v>30354</v>
      </c>
      <c r="M417" s="485">
        <v>0</v>
      </c>
      <c r="N417" s="485">
        <v>7610</v>
      </c>
      <c r="O417" s="486">
        <v>33705</v>
      </c>
      <c r="P417" s="486">
        <v>0</v>
      </c>
      <c r="Q417" s="486">
        <v>11433</v>
      </c>
      <c r="R417" s="485">
        <v>11</v>
      </c>
      <c r="S417" s="486">
        <v>9</v>
      </c>
      <c r="T417" s="483">
        <f t="shared" si="35"/>
        <v>0</v>
      </c>
      <c r="U417" s="484">
        <f t="shared" si="32"/>
        <v>0</v>
      </c>
      <c r="V417" s="485"/>
      <c r="W417" s="486"/>
      <c r="X417" s="485"/>
      <c r="Y417" s="486"/>
      <c r="Z417" s="485"/>
      <c r="AA417" s="485"/>
      <c r="AB417" s="485"/>
      <c r="AC417" s="486"/>
      <c r="AD417" s="486"/>
      <c r="AE417" s="486"/>
      <c r="AF417" s="485"/>
      <c r="AG417" s="486"/>
    </row>
    <row r="418" spans="1:33" s="28" customFormat="1" ht="15" customHeight="1">
      <c r="A418" s="67" t="s">
        <v>472</v>
      </c>
      <c r="B418" s="2" t="s">
        <v>486</v>
      </c>
      <c r="C418" s="145"/>
      <c r="D418" s="66">
        <v>222053</v>
      </c>
      <c r="E418" s="66">
        <v>8</v>
      </c>
      <c r="F418" s="483">
        <f t="shared" si="33"/>
        <v>176044</v>
      </c>
      <c r="G418" s="484">
        <f t="shared" si="34"/>
        <v>178496</v>
      </c>
      <c r="H418" s="485">
        <v>91765</v>
      </c>
      <c r="I418" s="486">
        <v>90896</v>
      </c>
      <c r="J418" s="485">
        <v>30387</v>
      </c>
      <c r="K418" s="486">
        <v>27106</v>
      </c>
      <c r="L418" s="485">
        <v>46627</v>
      </c>
      <c r="M418" s="485">
        <v>0</v>
      </c>
      <c r="N418" s="485">
        <v>6919</v>
      </c>
      <c r="O418" s="486">
        <v>51894</v>
      </c>
      <c r="P418" s="486">
        <v>18</v>
      </c>
      <c r="Q418" s="486">
        <v>8126</v>
      </c>
      <c r="R418" s="485">
        <v>346</v>
      </c>
      <c r="S418" s="486">
        <v>456</v>
      </c>
      <c r="T418" s="483">
        <f t="shared" si="35"/>
        <v>0</v>
      </c>
      <c r="U418" s="484">
        <f t="shared" si="32"/>
        <v>0</v>
      </c>
      <c r="V418" s="485"/>
      <c r="W418" s="486"/>
      <c r="X418" s="485"/>
      <c r="Y418" s="486"/>
      <c r="Z418" s="485"/>
      <c r="AA418" s="485"/>
      <c r="AB418" s="485"/>
      <c r="AC418" s="486"/>
      <c r="AD418" s="486"/>
      <c r="AE418" s="486"/>
      <c r="AF418" s="485"/>
      <c r="AG418" s="486"/>
    </row>
    <row r="419" spans="1:33" s="28" customFormat="1" ht="15" customHeight="1">
      <c r="A419" s="67" t="s">
        <v>472</v>
      </c>
      <c r="B419" s="69" t="s">
        <v>487</v>
      </c>
      <c r="C419" s="145"/>
      <c r="D419" s="66">
        <v>219879</v>
      </c>
      <c r="E419" s="66">
        <v>9</v>
      </c>
      <c r="F419" s="483">
        <f t="shared" si="33"/>
        <v>62404</v>
      </c>
      <c r="G419" s="484">
        <f t="shared" si="34"/>
        <v>62950</v>
      </c>
      <c r="H419" s="485">
        <v>32938</v>
      </c>
      <c r="I419" s="486">
        <v>30964</v>
      </c>
      <c r="J419" s="485">
        <v>10254</v>
      </c>
      <c r="K419" s="486">
        <v>10258</v>
      </c>
      <c r="L419" s="485">
        <v>9740</v>
      </c>
      <c r="M419" s="485">
        <v>9</v>
      </c>
      <c r="N419" s="485">
        <v>8822</v>
      </c>
      <c r="O419" s="486">
        <v>11612</v>
      </c>
      <c r="P419" s="486">
        <v>81</v>
      </c>
      <c r="Q419" s="486">
        <v>9480</v>
      </c>
      <c r="R419" s="485">
        <v>641</v>
      </c>
      <c r="S419" s="486">
        <v>555</v>
      </c>
      <c r="T419" s="483">
        <f t="shared" si="35"/>
        <v>0</v>
      </c>
      <c r="U419" s="484">
        <f t="shared" si="32"/>
        <v>0</v>
      </c>
      <c r="V419" s="485"/>
      <c r="W419" s="486"/>
      <c r="X419" s="485"/>
      <c r="Y419" s="486"/>
      <c r="Z419" s="485"/>
      <c r="AA419" s="485"/>
      <c r="AB419" s="485"/>
      <c r="AC419" s="486"/>
      <c r="AD419" s="486"/>
      <c r="AE419" s="486"/>
      <c r="AF419" s="485"/>
      <c r="AG419" s="486"/>
    </row>
    <row r="420" spans="1:33" s="28" customFormat="1" ht="15" customHeight="1">
      <c r="A420" s="3" t="s">
        <v>472</v>
      </c>
      <c r="B420" s="2" t="s">
        <v>488</v>
      </c>
      <c r="C420" s="145"/>
      <c r="D420" s="66">
        <v>219888</v>
      </c>
      <c r="E420" s="66">
        <v>9</v>
      </c>
      <c r="F420" s="483">
        <f t="shared" si="33"/>
        <v>110124</v>
      </c>
      <c r="G420" s="484">
        <f t="shared" si="34"/>
        <v>119843</v>
      </c>
      <c r="H420" s="485">
        <v>34457</v>
      </c>
      <c r="I420" s="486">
        <v>35412</v>
      </c>
      <c r="J420" s="485">
        <v>44049</v>
      </c>
      <c r="K420" s="486">
        <v>47234</v>
      </c>
      <c r="L420" s="485">
        <v>24537</v>
      </c>
      <c r="M420" s="485">
        <v>1361</v>
      </c>
      <c r="N420" s="485">
        <v>5584</v>
      </c>
      <c r="O420" s="486">
        <v>27407</v>
      </c>
      <c r="P420" s="486">
        <v>1107</v>
      </c>
      <c r="Q420" s="486">
        <v>8471</v>
      </c>
      <c r="R420" s="485">
        <v>136</v>
      </c>
      <c r="S420" s="486">
        <v>212</v>
      </c>
      <c r="T420" s="483">
        <f t="shared" si="35"/>
        <v>0</v>
      </c>
      <c r="U420" s="484">
        <f t="shared" si="32"/>
        <v>0</v>
      </c>
      <c r="V420" s="485"/>
      <c r="W420" s="486"/>
      <c r="X420" s="485"/>
      <c r="Y420" s="486"/>
      <c r="Z420" s="485"/>
      <c r="AA420" s="485"/>
      <c r="AB420" s="485"/>
      <c r="AC420" s="486"/>
      <c r="AD420" s="486"/>
      <c r="AE420" s="486"/>
      <c r="AF420" s="485"/>
      <c r="AG420" s="486"/>
    </row>
    <row r="421" spans="1:33" s="28" customFormat="1" ht="15" customHeight="1">
      <c r="A421" s="67" t="s">
        <v>472</v>
      </c>
      <c r="B421" s="69" t="s">
        <v>490</v>
      </c>
      <c r="C421" s="145"/>
      <c r="D421" s="66">
        <v>220400</v>
      </c>
      <c r="E421" s="66">
        <v>9</v>
      </c>
      <c r="F421" s="483">
        <f t="shared" si="33"/>
        <v>88858</v>
      </c>
      <c r="G421" s="484">
        <f t="shared" si="34"/>
        <v>89978</v>
      </c>
      <c r="H421" s="485">
        <v>43568</v>
      </c>
      <c r="I421" s="486">
        <v>43724</v>
      </c>
      <c r="J421" s="485">
        <v>13637</v>
      </c>
      <c r="K421" s="486">
        <v>12870</v>
      </c>
      <c r="L421" s="485">
        <v>20215</v>
      </c>
      <c r="M421" s="485">
        <v>3966</v>
      </c>
      <c r="N421" s="485">
        <v>7439</v>
      </c>
      <c r="O421" s="486">
        <v>21112</v>
      </c>
      <c r="P421" s="486">
        <v>3386</v>
      </c>
      <c r="Q421" s="486">
        <v>8829</v>
      </c>
      <c r="R421" s="485">
        <v>33</v>
      </c>
      <c r="S421" s="486">
        <v>57</v>
      </c>
      <c r="T421" s="483">
        <f t="shared" si="35"/>
        <v>0</v>
      </c>
      <c r="U421" s="484">
        <f t="shared" si="32"/>
        <v>0</v>
      </c>
      <c r="V421" s="485"/>
      <c r="W421" s="486"/>
      <c r="X421" s="485"/>
      <c r="Y421" s="486"/>
      <c r="Z421" s="485"/>
      <c r="AA421" s="485"/>
      <c r="AB421" s="485"/>
      <c r="AC421" s="486"/>
      <c r="AD421" s="486"/>
      <c r="AE421" s="486"/>
      <c r="AF421" s="485"/>
      <c r="AG421" s="486"/>
    </row>
    <row r="422" spans="1:33" s="28" customFormat="1" ht="15" customHeight="1">
      <c r="A422" s="67" t="s">
        <v>472</v>
      </c>
      <c r="B422" s="2" t="s">
        <v>491</v>
      </c>
      <c r="C422" s="145"/>
      <c r="D422" s="66">
        <v>221096</v>
      </c>
      <c r="E422" s="66">
        <v>9</v>
      </c>
      <c r="F422" s="483">
        <f t="shared" si="33"/>
        <v>129107</v>
      </c>
      <c r="G422" s="484">
        <f t="shared" si="34"/>
        <v>130665</v>
      </c>
      <c r="H422" s="485">
        <v>24605</v>
      </c>
      <c r="I422" s="486">
        <v>22707</v>
      </c>
      <c r="J422" s="485">
        <v>67186</v>
      </c>
      <c r="K422" s="486">
        <v>66099</v>
      </c>
      <c r="L422" s="485">
        <v>26343</v>
      </c>
      <c r="M422" s="485">
        <v>6838</v>
      </c>
      <c r="N422" s="485">
        <v>3824</v>
      </c>
      <c r="O422" s="486">
        <v>32415</v>
      </c>
      <c r="P422" s="486">
        <v>5607</v>
      </c>
      <c r="Q422" s="486">
        <v>3589</v>
      </c>
      <c r="R422" s="485">
        <v>311</v>
      </c>
      <c r="S422" s="486">
        <v>248</v>
      </c>
      <c r="T422" s="483">
        <f t="shared" si="35"/>
        <v>0</v>
      </c>
      <c r="U422" s="484">
        <f t="shared" si="32"/>
        <v>0</v>
      </c>
      <c r="V422" s="485"/>
      <c r="W422" s="486"/>
      <c r="X422" s="485"/>
      <c r="Y422" s="486"/>
      <c r="Z422" s="485"/>
      <c r="AA422" s="485"/>
      <c r="AB422" s="485"/>
      <c r="AC422" s="486"/>
      <c r="AD422" s="486"/>
      <c r="AE422" s="486"/>
      <c r="AF422" s="485"/>
      <c r="AG422" s="486"/>
    </row>
    <row r="423" spans="1:33" s="28" customFormat="1" ht="15" customHeight="1">
      <c r="A423" s="3" t="s">
        <v>472</v>
      </c>
      <c r="B423" s="2" t="s">
        <v>492</v>
      </c>
      <c r="C423" s="145"/>
      <c r="D423" s="66">
        <v>221908</v>
      </c>
      <c r="E423" s="66">
        <v>9</v>
      </c>
      <c r="F423" s="483">
        <f t="shared" si="33"/>
        <v>122546</v>
      </c>
      <c r="G423" s="484">
        <f t="shared" si="34"/>
        <v>123242</v>
      </c>
      <c r="H423" s="485">
        <v>64986</v>
      </c>
      <c r="I423" s="486">
        <v>64517</v>
      </c>
      <c r="J423" s="485">
        <v>37077</v>
      </c>
      <c r="K423" s="486">
        <v>35714</v>
      </c>
      <c r="L423" s="485">
        <v>15553</v>
      </c>
      <c r="M423" s="485">
        <v>2015</v>
      </c>
      <c r="N423" s="485">
        <v>2786</v>
      </c>
      <c r="O423" s="486">
        <v>17016</v>
      </c>
      <c r="P423" s="486">
        <v>2502</v>
      </c>
      <c r="Q423" s="486">
        <v>3145</v>
      </c>
      <c r="R423" s="485">
        <v>129</v>
      </c>
      <c r="S423" s="486">
        <v>348</v>
      </c>
      <c r="T423" s="483">
        <f t="shared" si="35"/>
        <v>0</v>
      </c>
      <c r="U423" s="484">
        <f t="shared" si="32"/>
        <v>0</v>
      </c>
      <c r="V423" s="485"/>
      <c r="W423" s="486"/>
      <c r="X423" s="485"/>
      <c r="Y423" s="486"/>
      <c r="Z423" s="485"/>
      <c r="AA423" s="485"/>
      <c r="AB423" s="485"/>
      <c r="AC423" s="486"/>
      <c r="AD423" s="486"/>
      <c r="AE423" s="486"/>
      <c r="AF423" s="485"/>
      <c r="AG423" s="486"/>
    </row>
    <row r="424" spans="1:33" s="28" customFormat="1" ht="15" customHeight="1">
      <c r="A424" s="67" t="s">
        <v>472</v>
      </c>
      <c r="B424" s="69" t="s">
        <v>493</v>
      </c>
      <c r="C424" s="145"/>
      <c r="D424" s="66">
        <v>221397</v>
      </c>
      <c r="E424" s="66">
        <v>9</v>
      </c>
      <c r="F424" s="483">
        <f t="shared" si="33"/>
        <v>109148</v>
      </c>
      <c r="G424" s="484">
        <f t="shared" si="34"/>
        <v>108604</v>
      </c>
      <c r="H424" s="485">
        <v>16513</v>
      </c>
      <c r="I424" s="486">
        <v>15281</v>
      </c>
      <c r="J424" s="485">
        <v>56341</v>
      </c>
      <c r="K424" s="486">
        <v>53090</v>
      </c>
      <c r="L424" s="485">
        <v>24163</v>
      </c>
      <c r="M424" s="485">
        <v>4318</v>
      </c>
      <c r="N424" s="485">
        <v>7776</v>
      </c>
      <c r="O424" s="486">
        <v>26732</v>
      </c>
      <c r="P424" s="486">
        <v>4383</v>
      </c>
      <c r="Q424" s="486">
        <v>9101</v>
      </c>
      <c r="R424" s="485">
        <v>37</v>
      </c>
      <c r="S424" s="486">
        <v>17</v>
      </c>
      <c r="T424" s="483">
        <f t="shared" si="35"/>
        <v>0</v>
      </c>
      <c r="U424" s="484">
        <f t="shared" si="32"/>
        <v>0</v>
      </c>
      <c r="V424" s="485"/>
      <c r="W424" s="486"/>
      <c r="X424" s="485"/>
      <c r="Y424" s="486"/>
      <c r="Z424" s="485"/>
      <c r="AA424" s="485"/>
      <c r="AB424" s="485"/>
      <c r="AC424" s="486"/>
      <c r="AD424" s="486"/>
      <c r="AE424" s="486"/>
      <c r="AF424" s="485"/>
      <c r="AG424" s="486"/>
    </row>
    <row r="425" spans="1:33" s="28" customFormat="1" ht="15" customHeight="1">
      <c r="A425" s="67" t="s">
        <v>472</v>
      </c>
      <c r="B425" s="2" t="s">
        <v>494</v>
      </c>
      <c r="C425" s="145"/>
      <c r="D425" s="66">
        <v>222062</v>
      </c>
      <c r="E425" s="66">
        <v>9</v>
      </c>
      <c r="F425" s="483">
        <f t="shared" si="33"/>
        <v>115636</v>
      </c>
      <c r="G425" s="484">
        <f t="shared" si="34"/>
        <v>115782</v>
      </c>
      <c r="H425" s="485">
        <v>44702</v>
      </c>
      <c r="I425" s="486">
        <v>43547</v>
      </c>
      <c r="J425" s="485">
        <v>43870</v>
      </c>
      <c r="K425" s="486">
        <v>42733</v>
      </c>
      <c r="L425" s="485">
        <v>19005</v>
      </c>
      <c r="M425" s="485">
        <v>6076</v>
      </c>
      <c r="N425" s="485">
        <v>1965</v>
      </c>
      <c r="O425" s="486">
        <v>21439</v>
      </c>
      <c r="P425" s="486">
        <v>6109</v>
      </c>
      <c r="Q425" s="486">
        <v>1942</v>
      </c>
      <c r="R425" s="485">
        <v>18</v>
      </c>
      <c r="S425" s="486">
        <v>12</v>
      </c>
      <c r="T425" s="483">
        <f t="shared" si="35"/>
        <v>0</v>
      </c>
      <c r="U425" s="484">
        <f t="shared" si="32"/>
        <v>0</v>
      </c>
      <c r="V425" s="485"/>
      <c r="W425" s="486"/>
      <c r="X425" s="485"/>
      <c r="Y425" s="486"/>
      <c r="Z425" s="485"/>
      <c r="AA425" s="485"/>
      <c r="AB425" s="485"/>
      <c r="AC425" s="486"/>
      <c r="AD425" s="486"/>
      <c r="AE425" s="486"/>
      <c r="AF425" s="485"/>
      <c r="AG425" s="486"/>
    </row>
    <row r="426" spans="1:33" s="28" customFormat="1" ht="15" customHeight="1">
      <c r="A426" s="3" t="s">
        <v>472</v>
      </c>
      <c r="B426" s="2" t="s">
        <v>489</v>
      </c>
      <c r="C426" s="114"/>
      <c r="D426" s="66">
        <v>220057</v>
      </c>
      <c r="E426" s="66">
        <v>10</v>
      </c>
      <c r="F426" s="483">
        <f t="shared" si="33"/>
        <v>50263</v>
      </c>
      <c r="G426" s="484">
        <f t="shared" si="34"/>
        <v>51313</v>
      </c>
      <c r="H426" s="485">
        <v>15580</v>
      </c>
      <c r="I426" s="486">
        <v>15105</v>
      </c>
      <c r="J426" s="485">
        <v>20756</v>
      </c>
      <c r="K426" s="486">
        <v>20231</v>
      </c>
      <c r="L426" s="485">
        <v>10328</v>
      </c>
      <c r="M426" s="485">
        <v>2178</v>
      </c>
      <c r="N426" s="485">
        <v>1248</v>
      </c>
      <c r="O426" s="486">
        <v>11824</v>
      </c>
      <c r="P426" s="486">
        <v>2906</v>
      </c>
      <c r="Q426" s="486">
        <v>981</v>
      </c>
      <c r="R426" s="485">
        <v>173</v>
      </c>
      <c r="S426" s="486">
        <v>266</v>
      </c>
      <c r="T426" s="483">
        <f t="shared" si="35"/>
        <v>0</v>
      </c>
      <c r="U426" s="484">
        <f t="shared" si="32"/>
        <v>0</v>
      </c>
      <c r="V426" s="485"/>
      <c r="W426" s="486"/>
      <c r="X426" s="485"/>
      <c r="Y426" s="486"/>
      <c r="Z426" s="485"/>
      <c r="AA426" s="485"/>
      <c r="AB426" s="485"/>
      <c r="AC426" s="486"/>
      <c r="AD426" s="486"/>
      <c r="AE426" s="486"/>
      <c r="AF426" s="485"/>
      <c r="AG426" s="486"/>
    </row>
    <row r="427" spans="1:33" s="28" customFormat="1" ht="15" customHeight="1">
      <c r="A427" s="67" t="s">
        <v>472</v>
      </c>
      <c r="B427" s="2" t="s">
        <v>495</v>
      </c>
      <c r="C427" s="145" t="s">
        <v>975</v>
      </c>
      <c r="D427" s="66" t="s">
        <v>496</v>
      </c>
      <c r="E427" s="66">
        <v>12</v>
      </c>
      <c r="F427" s="483">
        <f t="shared" si="33"/>
        <v>0</v>
      </c>
      <c r="G427" s="484">
        <f t="shared" si="34"/>
        <v>0</v>
      </c>
      <c r="H427" s="485"/>
      <c r="I427" s="486"/>
      <c r="J427" s="485"/>
      <c r="K427" s="486"/>
      <c r="L427" s="485"/>
      <c r="M427" s="485"/>
      <c r="N427" s="485"/>
      <c r="O427" s="486"/>
      <c r="P427" s="486"/>
      <c r="Q427" s="486"/>
      <c r="R427" s="485"/>
      <c r="S427" s="486"/>
      <c r="T427" s="483">
        <f t="shared" si="35"/>
        <v>0</v>
      </c>
      <c r="U427" s="484">
        <f t="shared" si="32"/>
        <v>0</v>
      </c>
      <c r="V427" s="485"/>
      <c r="W427" s="486"/>
      <c r="X427" s="485"/>
      <c r="Y427" s="486"/>
      <c r="Z427" s="485"/>
      <c r="AA427" s="485"/>
      <c r="AB427" s="485"/>
      <c r="AC427" s="486"/>
      <c r="AD427" s="486"/>
      <c r="AE427" s="486"/>
      <c r="AF427" s="485"/>
      <c r="AG427" s="486"/>
    </row>
    <row r="428" spans="1:33" s="28" customFormat="1" ht="12.75" customHeight="1">
      <c r="A428" s="67" t="s">
        <v>472</v>
      </c>
      <c r="B428" s="69" t="s">
        <v>497</v>
      </c>
      <c r="C428" s="70"/>
      <c r="D428" s="66">
        <v>219596</v>
      </c>
      <c r="E428" s="66">
        <v>13</v>
      </c>
      <c r="F428" s="483">
        <f t="shared" si="33"/>
        <v>0</v>
      </c>
      <c r="G428" s="484">
        <f t="shared" si="34"/>
        <v>0</v>
      </c>
      <c r="H428" s="485"/>
      <c r="I428" s="486"/>
      <c r="J428" s="485"/>
      <c r="K428" s="486"/>
      <c r="L428" s="485"/>
      <c r="M428" s="485"/>
      <c r="N428" s="485"/>
      <c r="O428" s="486"/>
      <c r="P428" s="486"/>
      <c r="Q428" s="486"/>
      <c r="R428" s="485"/>
      <c r="S428" s="486"/>
      <c r="T428" s="483">
        <f t="shared" si="35"/>
        <v>0</v>
      </c>
      <c r="U428" s="484">
        <f t="shared" si="32"/>
        <v>0</v>
      </c>
      <c r="V428" s="485"/>
      <c r="W428" s="486"/>
      <c r="X428" s="485"/>
      <c r="Y428" s="486"/>
      <c r="Z428" s="485"/>
      <c r="AA428" s="485"/>
      <c r="AB428" s="485"/>
      <c r="AC428" s="486"/>
      <c r="AD428" s="486"/>
      <c r="AE428" s="486"/>
      <c r="AF428" s="485"/>
      <c r="AG428" s="486"/>
    </row>
    <row r="429" spans="1:33">
      <c r="A429" s="3" t="s">
        <v>472</v>
      </c>
      <c r="B429" s="2" t="s">
        <v>498</v>
      </c>
      <c r="C429" s="1"/>
      <c r="D429" s="66">
        <v>219921</v>
      </c>
      <c r="E429" s="66">
        <v>13</v>
      </c>
      <c r="F429" s="483">
        <f t="shared" si="33"/>
        <v>0</v>
      </c>
      <c r="G429" s="484">
        <f t="shared" si="34"/>
        <v>0</v>
      </c>
      <c r="H429" s="485"/>
      <c r="I429" s="486"/>
      <c r="J429" s="485"/>
      <c r="K429" s="486"/>
      <c r="L429" s="485"/>
      <c r="M429" s="485"/>
      <c r="N429" s="485"/>
      <c r="O429" s="486"/>
      <c r="P429" s="486"/>
      <c r="Q429" s="486"/>
      <c r="R429" s="485"/>
      <c r="S429" s="486"/>
      <c r="T429" s="483">
        <f t="shared" si="35"/>
        <v>0</v>
      </c>
      <c r="U429" s="484">
        <f t="shared" si="32"/>
        <v>0</v>
      </c>
      <c r="V429" s="485"/>
      <c r="W429" s="486"/>
      <c r="X429" s="485"/>
      <c r="Y429" s="486"/>
      <c r="Z429" s="485"/>
      <c r="AA429" s="485"/>
      <c r="AB429" s="485"/>
      <c r="AC429" s="486"/>
      <c r="AD429" s="486"/>
      <c r="AE429" s="486"/>
      <c r="AF429" s="485"/>
      <c r="AG429" s="486"/>
    </row>
    <row r="430" spans="1:33">
      <c r="A430" s="67" t="s">
        <v>472</v>
      </c>
      <c r="B430" s="2" t="s">
        <v>499</v>
      </c>
      <c r="C430" s="68"/>
      <c r="D430" s="66">
        <v>221591</v>
      </c>
      <c r="E430" s="66">
        <v>13</v>
      </c>
      <c r="F430" s="483">
        <f t="shared" si="33"/>
        <v>0</v>
      </c>
      <c r="G430" s="484">
        <f t="shared" si="34"/>
        <v>0</v>
      </c>
      <c r="H430" s="485"/>
      <c r="I430" s="486"/>
      <c r="J430" s="485"/>
      <c r="K430" s="486"/>
      <c r="L430" s="485"/>
      <c r="M430" s="485"/>
      <c r="N430" s="485"/>
      <c r="O430" s="486"/>
      <c r="P430" s="486"/>
      <c r="Q430" s="486"/>
      <c r="R430" s="485"/>
      <c r="S430" s="486"/>
      <c r="T430" s="483">
        <f t="shared" si="35"/>
        <v>0</v>
      </c>
      <c r="U430" s="484">
        <f t="shared" si="32"/>
        <v>0</v>
      </c>
      <c r="V430" s="485"/>
      <c r="W430" s="486"/>
      <c r="X430" s="485"/>
      <c r="Y430" s="486"/>
      <c r="Z430" s="485"/>
      <c r="AA430" s="485"/>
      <c r="AB430" s="485"/>
      <c r="AC430" s="486"/>
      <c r="AD430" s="486"/>
      <c r="AE430" s="486"/>
      <c r="AF430" s="485"/>
      <c r="AG430" s="486"/>
    </row>
    <row r="431" spans="1:33">
      <c r="A431" s="67" t="s">
        <v>472</v>
      </c>
      <c r="B431" s="69" t="s">
        <v>500</v>
      </c>
      <c r="C431" s="70"/>
      <c r="D431" s="66">
        <v>221430</v>
      </c>
      <c r="E431" s="66">
        <v>13</v>
      </c>
      <c r="F431" s="483">
        <f t="shared" si="33"/>
        <v>0</v>
      </c>
      <c r="G431" s="484">
        <f t="shared" si="34"/>
        <v>0</v>
      </c>
      <c r="H431" s="485"/>
      <c r="I431" s="486"/>
      <c r="J431" s="485"/>
      <c r="K431" s="486"/>
      <c r="L431" s="485"/>
      <c r="M431" s="485"/>
      <c r="N431" s="485"/>
      <c r="O431" s="486"/>
      <c r="P431" s="486"/>
      <c r="Q431" s="486"/>
      <c r="R431" s="485"/>
      <c r="S431" s="486"/>
      <c r="T431" s="483">
        <f t="shared" si="35"/>
        <v>0</v>
      </c>
      <c r="U431" s="484">
        <f t="shared" si="32"/>
        <v>0</v>
      </c>
      <c r="V431" s="485"/>
      <c r="W431" s="486"/>
      <c r="X431" s="485"/>
      <c r="Y431" s="486"/>
      <c r="Z431" s="485"/>
      <c r="AA431" s="485"/>
      <c r="AB431" s="485"/>
      <c r="AC431" s="486"/>
      <c r="AD431" s="486"/>
      <c r="AE431" s="486"/>
      <c r="AF431" s="485"/>
      <c r="AG431" s="486"/>
    </row>
    <row r="432" spans="1:33">
      <c r="A432" s="3" t="s">
        <v>472</v>
      </c>
      <c r="B432" s="2" t="s">
        <v>501</v>
      </c>
      <c r="C432" s="1"/>
      <c r="D432" s="66">
        <v>219994</v>
      </c>
      <c r="E432" s="66">
        <v>13</v>
      </c>
      <c r="F432" s="483">
        <f t="shared" si="33"/>
        <v>0</v>
      </c>
      <c r="G432" s="484">
        <f t="shared" si="34"/>
        <v>0</v>
      </c>
      <c r="H432" s="485"/>
      <c r="I432" s="486"/>
      <c r="J432" s="485"/>
      <c r="K432" s="486"/>
      <c r="L432" s="485"/>
      <c r="M432" s="485"/>
      <c r="N432" s="485"/>
      <c r="O432" s="486"/>
      <c r="P432" s="486"/>
      <c r="Q432" s="486"/>
      <c r="R432" s="485"/>
      <c r="S432" s="486"/>
      <c r="T432" s="483">
        <f t="shared" si="35"/>
        <v>0</v>
      </c>
      <c r="U432" s="484">
        <f t="shared" si="32"/>
        <v>0</v>
      </c>
      <c r="V432" s="485"/>
      <c r="W432" s="486"/>
      <c r="X432" s="485"/>
      <c r="Y432" s="486"/>
      <c r="Z432" s="485"/>
      <c r="AA432" s="485"/>
      <c r="AB432" s="485"/>
      <c r="AC432" s="486"/>
      <c r="AD432" s="486"/>
      <c r="AE432" s="486"/>
      <c r="AF432" s="485"/>
      <c r="AG432" s="486"/>
    </row>
    <row r="433" spans="1:33" s="28" customFormat="1" ht="12.75" customHeight="1">
      <c r="A433" s="67" t="s">
        <v>472</v>
      </c>
      <c r="B433" s="2" t="s">
        <v>502</v>
      </c>
      <c r="C433" s="68"/>
      <c r="D433" s="66">
        <v>220127</v>
      </c>
      <c r="E433" s="66">
        <v>13</v>
      </c>
      <c r="F433" s="483">
        <f t="shared" si="33"/>
        <v>0</v>
      </c>
      <c r="G433" s="484">
        <f t="shared" si="34"/>
        <v>0</v>
      </c>
      <c r="H433" s="485"/>
      <c r="I433" s="486"/>
      <c r="J433" s="485"/>
      <c r="K433" s="486"/>
      <c r="L433" s="485"/>
      <c r="M433" s="485"/>
      <c r="N433" s="485"/>
      <c r="O433" s="486"/>
      <c r="P433" s="486"/>
      <c r="Q433" s="486"/>
      <c r="R433" s="485"/>
      <c r="S433" s="486"/>
      <c r="T433" s="483">
        <f t="shared" si="35"/>
        <v>0</v>
      </c>
      <c r="U433" s="484">
        <f t="shared" si="32"/>
        <v>0</v>
      </c>
      <c r="V433" s="485"/>
      <c r="W433" s="486"/>
      <c r="X433" s="485"/>
      <c r="Y433" s="486"/>
      <c r="Z433" s="485"/>
      <c r="AA433" s="485"/>
      <c r="AB433" s="485"/>
      <c r="AC433" s="486"/>
      <c r="AD433" s="486"/>
      <c r="AE433" s="486"/>
      <c r="AF433" s="485"/>
      <c r="AG433" s="486"/>
    </row>
    <row r="434" spans="1:33">
      <c r="A434" s="67" t="s">
        <v>472</v>
      </c>
      <c r="B434" s="69" t="s">
        <v>503</v>
      </c>
      <c r="C434" s="70"/>
      <c r="D434" s="66">
        <v>220251</v>
      </c>
      <c r="E434" s="66">
        <v>13</v>
      </c>
      <c r="F434" s="483">
        <f t="shared" si="33"/>
        <v>0</v>
      </c>
      <c r="G434" s="484">
        <f t="shared" si="34"/>
        <v>0</v>
      </c>
      <c r="H434" s="485"/>
      <c r="I434" s="486"/>
      <c r="J434" s="485"/>
      <c r="K434" s="486"/>
      <c r="L434" s="485"/>
      <c r="M434" s="485"/>
      <c r="N434" s="485"/>
      <c r="O434" s="486"/>
      <c r="P434" s="486"/>
      <c r="Q434" s="486"/>
      <c r="R434" s="485"/>
      <c r="S434" s="486"/>
      <c r="T434" s="483">
        <f t="shared" si="35"/>
        <v>0</v>
      </c>
      <c r="U434" s="484">
        <f t="shared" si="32"/>
        <v>0</v>
      </c>
      <c r="V434" s="485"/>
      <c r="W434" s="486"/>
      <c r="X434" s="485"/>
      <c r="Y434" s="486"/>
      <c r="Z434" s="485"/>
      <c r="AA434" s="485"/>
      <c r="AB434" s="485"/>
      <c r="AC434" s="486"/>
      <c r="AD434" s="486"/>
      <c r="AE434" s="486"/>
      <c r="AF434" s="485"/>
      <c r="AG434" s="486"/>
    </row>
    <row r="435" spans="1:33" s="28" customFormat="1" ht="12.75" customHeight="1">
      <c r="A435" s="3" t="s">
        <v>472</v>
      </c>
      <c r="B435" s="2" t="s">
        <v>504</v>
      </c>
      <c r="C435" s="1"/>
      <c r="D435" s="66">
        <v>220279</v>
      </c>
      <c r="E435" s="66">
        <v>13</v>
      </c>
      <c r="F435" s="483">
        <f t="shared" si="33"/>
        <v>0</v>
      </c>
      <c r="G435" s="484">
        <f t="shared" si="34"/>
        <v>0</v>
      </c>
      <c r="H435" s="485"/>
      <c r="I435" s="486"/>
      <c r="J435" s="485"/>
      <c r="K435" s="486"/>
      <c r="L435" s="485"/>
      <c r="M435" s="485"/>
      <c r="N435" s="485"/>
      <c r="O435" s="486"/>
      <c r="P435" s="486"/>
      <c r="Q435" s="486"/>
      <c r="R435" s="485"/>
      <c r="S435" s="486"/>
      <c r="T435" s="483">
        <f t="shared" si="35"/>
        <v>0</v>
      </c>
      <c r="U435" s="484">
        <f t="shared" si="32"/>
        <v>0</v>
      </c>
      <c r="V435" s="485"/>
      <c r="W435" s="486"/>
      <c r="X435" s="485"/>
      <c r="Y435" s="486"/>
      <c r="Z435" s="485"/>
      <c r="AA435" s="485"/>
      <c r="AB435" s="485"/>
      <c r="AC435" s="486"/>
      <c r="AD435" s="486"/>
      <c r="AE435" s="486"/>
      <c r="AF435" s="485"/>
      <c r="AG435" s="486"/>
    </row>
    <row r="436" spans="1:33">
      <c r="A436" s="67" t="s">
        <v>472</v>
      </c>
      <c r="B436" s="2" t="s">
        <v>505</v>
      </c>
      <c r="C436" s="68"/>
      <c r="D436" s="66">
        <v>220321</v>
      </c>
      <c r="E436" s="66">
        <v>13</v>
      </c>
      <c r="F436" s="483">
        <f t="shared" si="33"/>
        <v>0</v>
      </c>
      <c r="G436" s="484">
        <f t="shared" si="34"/>
        <v>0</v>
      </c>
      <c r="H436" s="485"/>
      <c r="I436" s="486"/>
      <c r="J436" s="485"/>
      <c r="K436" s="486"/>
      <c r="L436" s="485"/>
      <c r="M436" s="485"/>
      <c r="N436" s="485"/>
      <c r="O436" s="486"/>
      <c r="P436" s="486"/>
      <c r="Q436" s="486"/>
      <c r="R436" s="485"/>
      <c r="S436" s="486"/>
      <c r="T436" s="483">
        <f t="shared" si="35"/>
        <v>0</v>
      </c>
      <c r="U436" s="484">
        <f t="shared" si="32"/>
        <v>0</v>
      </c>
      <c r="V436" s="485"/>
      <c r="W436" s="486"/>
      <c r="X436" s="485"/>
      <c r="Y436" s="486"/>
      <c r="Z436" s="485"/>
      <c r="AA436" s="485"/>
      <c r="AB436" s="485"/>
      <c r="AC436" s="486"/>
      <c r="AD436" s="486"/>
      <c r="AE436" s="486"/>
      <c r="AF436" s="485"/>
      <c r="AG436" s="486"/>
    </row>
    <row r="437" spans="1:33">
      <c r="A437" s="67" t="s">
        <v>472</v>
      </c>
      <c r="B437" s="69" t="s">
        <v>506</v>
      </c>
      <c r="C437" s="70"/>
      <c r="D437" s="66">
        <v>220394</v>
      </c>
      <c r="E437" s="66">
        <v>13</v>
      </c>
      <c r="F437" s="483">
        <f t="shared" si="33"/>
        <v>0</v>
      </c>
      <c r="G437" s="484">
        <f t="shared" si="34"/>
        <v>0</v>
      </c>
      <c r="H437" s="485"/>
      <c r="I437" s="486"/>
      <c r="J437" s="485"/>
      <c r="K437" s="486"/>
      <c r="L437" s="485"/>
      <c r="M437" s="485"/>
      <c r="N437" s="485"/>
      <c r="O437" s="486"/>
      <c r="P437" s="486"/>
      <c r="Q437" s="486"/>
      <c r="R437" s="485"/>
      <c r="S437" s="486"/>
      <c r="T437" s="483">
        <f t="shared" si="35"/>
        <v>0</v>
      </c>
      <c r="U437" s="484">
        <f t="shared" ref="U437:U500" si="36">SUM(W437,Y437,AC437,AD437,AE437,AG437)</f>
        <v>0</v>
      </c>
      <c r="V437" s="485"/>
      <c r="W437" s="486"/>
      <c r="X437" s="485"/>
      <c r="Y437" s="486"/>
      <c r="Z437" s="485"/>
      <c r="AA437" s="485"/>
      <c r="AB437" s="485"/>
      <c r="AC437" s="486"/>
      <c r="AD437" s="486"/>
      <c r="AE437" s="486"/>
      <c r="AF437" s="485"/>
      <c r="AG437" s="486"/>
    </row>
    <row r="438" spans="1:33">
      <c r="A438" s="3" t="s">
        <v>472</v>
      </c>
      <c r="B438" s="2" t="s">
        <v>507</v>
      </c>
      <c r="C438" s="1"/>
      <c r="D438" s="66">
        <v>221616</v>
      </c>
      <c r="E438" s="66">
        <v>13</v>
      </c>
      <c r="F438" s="483">
        <f t="shared" si="33"/>
        <v>0</v>
      </c>
      <c r="G438" s="484">
        <f t="shared" si="34"/>
        <v>0</v>
      </c>
      <c r="H438" s="485"/>
      <c r="I438" s="486"/>
      <c r="J438" s="485"/>
      <c r="K438" s="486"/>
      <c r="L438" s="485"/>
      <c r="M438" s="485"/>
      <c r="N438" s="485"/>
      <c r="O438" s="486"/>
      <c r="P438" s="486"/>
      <c r="Q438" s="486"/>
      <c r="R438" s="485"/>
      <c r="S438" s="486"/>
      <c r="T438" s="483">
        <f t="shared" si="35"/>
        <v>0</v>
      </c>
      <c r="U438" s="484">
        <f t="shared" si="36"/>
        <v>0</v>
      </c>
      <c r="V438" s="485"/>
      <c r="W438" s="486"/>
      <c r="X438" s="485"/>
      <c r="Y438" s="486"/>
      <c r="Z438" s="485"/>
      <c r="AA438" s="485"/>
      <c r="AB438" s="485"/>
      <c r="AC438" s="486"/>
      <c r="AD438" s="486"/>
      <c r="AE438" s="486"/>
      <c r="AF438" s="485"/>
      <c r="AG438" s="486"/>
    </row>
    <row r="439" spans="1:33">
      <c r="A439" s="67" t="s">
        <v>472</v>
      </c>
      <c r="B439" s="2" t="s">
        <v>508</v>
      </c>
      <c r="C439" s="68"/>
      <c r="D439" s="66">
        <v>221625</v>
      </c>
      <c r="E439" s="66">
        <v>13</v>
      </c>
      <c r="F439" s="483">
        <f t="shared" si="33"/>
        <v>0</v>
      </c>
      <c r="G439" s="484">
        <f t="shared" si="34"/>
        <v>0</v>
      </c>
      <c r="H439" s="485"/>
      <c r="I439" s="486"/>
      <c r="J439" s="485"/>
      <c r="K439" s="486"/>
      <c r="L439" s="485"/>
      <c r="M439" s="485"/>
      <c r="N439" s="485"/>
      <c r="O439" s="486"/>
      <c r="P439" s="486"/>
      <c r="Q439" s="486"/>
      <c r="R439" s="485"/>
      <c r="S439" s="486"/>
      <c r="T439" s="483">
        <f t="shared" si="35"/>
        <v>0</v>
      </c>
      <c r="U439" s="484">
        <f t="shared" si="36"/>
        <v>0</v>
      </c>
      <c r="V439" s="485"/>
      <c r="W439" s="486"/>
      <c r="X439" s="485"/>
      <c r="Y439" s="486"/>
      <c r="Z439" s="485"/>
      <c r="AA439" s="485"/>
      <c r="AB439" s="485"/>
      <c r="AC439" s="486"/>
      <c r="AD439" s="486"/>
      <c r="AE439" s="486"/>
      <c r="AF439" s="485"/>
      <c r="AG439" s="486"/>
    </row>
    <row r="440" spans="1:33">
      <c r="A440" s="67" t="s">
        <v>472</v>
      </c>
      <c r="B440" s="69" t="s">
        <v>509</v>
      </c>
      <c r="C440" s="70"/>
      <c r="D440" s="66">
        <v>220640</v>
      </c>
      <c r="E440" s="66">
        <v>13</v>
      </c>
      <c r="F440" s="483">
        <f t="shared" si="33"/>
        <v>0</v>
      </c>
      <c r="G440" s="484">
        <f t="shared" si="34"/>
        <v>0</v>
      </c>
      <c r="H440" s="485"/>
      <c r="I440" s="486"/>
      <c r="J440" s="485"/>
      <c r="K440" s="486"/>
      <c r="L440" s="485"/>
      <c r="M440" s="485"/>
      <c r="N440" s="485"/>
      <c r="O440" s="486"/>
      <c r="P440" s="486"/>
      <c r="Q440" s="486"/>
      <c r="R440" s="485"/>
      <c r="S440" s="486"/>
      <c r="T440" s="483">
        <f t="shared" si="35"/>
        <v>0</v>
      </c>
      <c r="U440" s="484">
        <f t="shared" si="36"/>
        <v>0</v>
      </c>
      <c r="V440" s="485"/>
      <c r="W440" s="486"/>
      <c r="X440" s="485"/>
      <c r="Y440" s="486"/>
      <c r="Z440" s="485"/>
      <c r="AA440" s="485"/>
      <c r="AB440" s="485"/>
      <c r="AC440" s="486"/>
      <c r="AD440" s="486"/>
      <c r="AE440" s="486"/>
      <c r="AF440" s="485"/>
      <c r="AG440" s="486"/>
    </row>
    <row r="441" spans="1:33">
      <c r="A441" s="3" t="s">
        <v>472</v>
      </c>
      <c r="B441" s="2" t="s">
        <v>510</v>
      </c>
      <c r="C441" s="1"/>
      <c r="D441" s="66">
        <v>220756</v>
      </c>
      <c r="E441" s="66">
        <v>13</v>
      </c>
      <c r="F441" s="483">
        <f t="shared" si="33"/>
        <v>0</v>
      </c>
      <c r="G441" s="484">
        <f t="shared" si="34"/>
        <v>0</v>
      </c>
      <c r="H441" s="485"/>
      <c r="I441" s="486"/>
      <c r="J441" s="485"/>
      <c r="K441" s="486"/>
      <c r="L441" s="485"/>
      <c r="M441" s="485"/>
      <c r="N441" s="485"/>
      <c r="O441" s="486"/>
      <c r="P441" s="486"/>
      <c r="Q441" s="486"/>
      <c r="R441" s="485"/>
      <c r="S441" s="486"/>
      <c r="T441" s="483">
        <f t="shared" si="35"/>
        <v>0</v>
      </c>
      <c r="U441" s="484">
        <f t="shared" si="36"/>
        <v>0</v>
      </c>
      <c r="V441" s="485"/>
      <c r="W441" s="486"/>
      <c r="X441" s="485"/>
      <c r="Y441" s="486"/>
      <c r="Z441" s="485"/>
      <c r="AA441" s="485"/>
      <c r="AB441" s="485"/>
      <c r="AC441" s="486"/>
      <c r="AD441" s="486"/>
      <c r="AE441" s="486"/>
      <c r="AF441" s="485"/>
      <c r="AG441" s="486"/>
    </row>
    <row r="442" spans="1:33">
      <c r="A442" s="67" t="s">
        <v>472</v>
      </c>
      <c r="B442" s="2" t="s">
        <v>511</v>
      </c>
      <c r="C442" s="68"/>
      <c r="D442" s="66">
        <v>221607</v>
      </c>
      <c r="E442" s="66">
        <v>13</v>
      </c>
      <c r="F442" s="483">
        <f t="shared" si="33"/>
        <v>0</v>
      </c>
      <c r="G442" s="484">
        <f t="shared" si="34"/>
        <v>0</v>
      </c>
      <c r="H442" s="485"/>
      <c r="I442" s="486"/>
      <c r="J442" s="485"/>
      <c r="K442" s="486"/>
      <c r="L442" s="485"/>
      <c r="M442" s="485"/>
      <c r="N442" s="485"/>
      <c r="O442" s="486"/>
      <c r="P442" s="486"/>
      <c r="Q442" s="486"/>
      <c r="R442" s="485"/>
      <c r="S442" s="486"/>
      <c r="T442" s="483">
        <f t="shared" si="35"/>
        <v>0</v>
      </c>
      <c r="U442" s="484">
        <f t="shared" si="36"/>
        <v>0</v>
      </c>
      <c r="V442" s="485"/>
      <c r="W442" s="486"/>
      <c r="X442" s="485"/>
      <c r="Y442" s="486"/>
      <c r="Z442" s="485"/>
      <c r="AA442" s="485"/>
      <c r="AB442" s="485"/>
      <c r="AC442" s="486"/>
      <c r="AD442" s="486"/>
      <c r="AE442" s="486"/>
      <c r="AF442" s="485"/>
      <c r="AG442" s="486"/>
    </row>
    <row r="443" spans="1:33" s="28" customFormat="1" ht="12.75" customHeight="1">
      <c r="A443" s="67" t="s">
        <v>472</v>
      </c>
      <c r="B443" s="69" t="s">
        <v>512</v>
      </c>
      <c r="C443" s="70"/>
      <c r="D443" s="66">
        <v>220853</v>
      </c>
      <c r="E443" s="66">
        <v>13</v>
      </c>
      <c r="F443" s="483">
        <f t="shared" si="33"/>
        <v>0</v>
      </c>
      <c r="G443" s="484">
        <f t="shared" si="34"/>
        <v>0</v>
      </c>
      <c r="H443" s="485"/>
      <c r="I443" s="486"/>
      <c r="J443" s="485"/>
      <c r="K443" s="486"/>
      <c r="L443" s="485"/>
      <c r="M443" s="485"/>
      <c r="N443" s="485"/>
      <c r="O443" s="486"/>
      <c r="P443" s="486"/>
      <c r="Q443" s="486"/>
      <c r="R443" s="485"/>
      <c r="S443" s="486"/>
      <c r="T443" s="483">
        <f t="shared" si="35"/>
        <v>0</v>
      </c>
      <c r="U443" s="484">
        <f t="shared" si="36"/>
        <v>0</v>
      </c>
      <c r="V443" s="485"/>
      <c r="W443" s="486"/>
      <c r="X443" s="485"/>
      <c r="Y443" s="486"/>
      <c r="Z443" s="485"/>
      <c r="AA443" s="485"/>
      <c r="AB443" s="485"/>
      <c r="AC443" s="486"/>
      <c r="AD443" s="486"/>
      <c r="AE443" s="486"/>
      <c r="AF443" s="485"/>
      <c r="AG443" s="486"/>
    </row>
    <row r="444" spans="1:33" s="28" customFormat="1" ht="12.75" customHeight="1">
      <c r="A444" s="3" t="s">
        <v>472</v>
      </c>
      <c r="B444" s="2" t="s">
        <v>513</v>
      </c>
      <c r="C444" s="1"/>
      <c r="D444" s="66">
        <v>221050</v>
      </c>
      <c r="E444" s="66">
        <v>13</v>
      </c>
      <c r="F444" s="483">
        <f t="shared" si="33"/>
        <v>0</v>
      </c>
      <c r="G444" s="484">
        <f t="shared" si="34"/>
        <v>0</v>
      </c>
      <c r="H444" s="485"/>
      <c r="I444" s="486"/>
      <c r="J444" s="485"/>
      <c r="K444" s="486"/>
      <c r="L444" s="485"/>
      <c r="M444" s="485"/>
      <c r="N444" s="485"/>
      <c r="O444" s="486"/>
      <c r="P444" s="486"/>
      <c r="Q444" s="486"/>
      <c r="R444" s="485"/>
      <c r="S444" s="486"/>
      <c r="T444" s="483">
        <f t="shared" si="35"/>
        <v>0</v>
      </c>
      <c r="U444" s="484">
        <f t="shared" si="36"/>
        <v>0</v>
      </c>
      <c r="V444" s="485"/>
      <c r="W444" s="486"/>
      <c r="X444" s="485"/>
      <c r="Y444" s="486"/>
      <c r="Z444" s="485"/>
      <c r="AA444" s="485"/>
      <c r="AB444" s="485"/>
      <c r="AC444" s="486"/>
      <c r="AD444" s="486"/>
      <c r="AE444" s="486"/>
      <c r="AF444" s="485"/>
      <c r="AG444" s="486"/>
    </row>
    <row r="445" spans="1:33">
      <c r="A445" s="67" t="s">
        <v>472</v>
      </c>
      <c r="B445" s="2" t="s">
        <v>514</v>
      </c>
      <c r="C445" s="68"/>
      <c r="D445" s="66">
        <v>221102</v>
      </c>
      <c r="E445" s="66">
        <v>13</v>
      </c>
      <c r="F445" s="483">
        <f t="shared" si="33"/>
        <v>0</v>
      </c>
      <c r="G445" s="484">
        <f t="shared" si="34"/>
        <v>0</v>
      </c>
      <c r="H445" s="485"/>
      <c r="I445" s="486"/>
      <c r="J445" s="485"/>
      <c r="K445" s="486"/>
      <c r="L445" s="485"/>
      <c r="M445" s="485"/>
      <c r="N445" s="485"/>
      <c r="O445" s="486"/>
      <c r="P445" s="486"/>
      <c r="Q445" s="486"/>
      <c r="R445" s="485"/>
      <c r="S445" s="486"/>
      <c r="T445" s="483">
        <f t="shared" si="35"/>
        <v>0</v>
      </c>
      <c r="U445" s="484">
        <f t="shared" si="36"/>
        <v>0</v>
      </c>
      <c r="V445" s="485"/>
      <c r="W445" s="486"/>
      <c r="X445" s="485"/>
      <c r="Y445" s="486"/>
      <c r="Z445" s="485"/>
      <c r="AA445" s="485"/>
      <c r="AB445" s="485"/>
      <c r="AC445" s="486"/>
      <c r="AD445" s="486"/>
      <c r="AE445" s="486"/>
      <c r="AF445" s="485"/>
      <c r="AG445" s="486"/>
    </row>
    <row r="446" spans="1:33" s="28" customFormat="1" ht="12.75" customHeight="1">
      <c r="A446" s="67" t="s">
        <v>472</v>
      </c>
      <c r="B446" s="69" t="s">
        <v>515</v>
      </c>
      <c r="C446" s="70"/>
      <c r="D446" s="66">
        <v>248925</v>
      </c>
      <c r="E446" s="66">
        <v>13</v>
      </c>
      <c r="F446" s="483">
        <f t="shared" si="33"/>
        <v>0</v>
      </c>
      <c r="G446" s="484">
        <f t="shared" si="34"/>
        <v>0</v>
      </c>
      <c r="H446" s="485"/>
      <c r="I446" s="486"/>
      <c r="J446" s="485"/>
      <c r="K446" s="486"/>
      <c r="L446" s="485"/>
      <c r="M446" s="485"/>
      <c r="N446" s="485"/>
      <c r="O446" s="486"/>
      <c r="P446" s="486"/>
      <c r="Q446" s="486"/>
      <c r="R446" s="485"/>
      <c r="S446" s="486"/>
      <c r="T446" s="483">
        <f t="shared" si="35"/>
        <v>0</v>
      </c>
      <c r="U446" s="484">
        <f t="shared" si="36"/>
        <v>0</v>
      </c>
      <c r="V446" s="485"/>
      <c r="W446" s="486"/>
      <c r="X446" s="485"/>
      <c r="Y446" s="486"/>
      <c r="Z446" s="485"/>
      <c r="AA446" s="485"/>
      <c r="AB446" s="485"/>
      <c r="AC446" s="486"/>
      <c r="AD446" s="486"/>
      <c r="AE446" s="486"/>
      <c r="AF446" s="485"/>
      <c r="AG446" s="486"/>
    </row>
    <row r="447" spans="1:33" s="28" customFormat="1" ht="12.75" customHeight="1">
      <c r="A447" s="3" t="s">
        <v>472</v>
      </c>
      <c r="B447" s="2" t="s">
        <v>516</v>
      </c>
      <c r="C447" s="1"/>
      <c r="D447" s="66">
        <v>221236</v>
      </c>
      <c r="E447" s="66">
        <v>13</v>
      </c>
      <c r="F447" s="483">
        <f t="shared" si="33"/>
        <v>0</v>
      </c>
      <c r="G447" s="484">
        <f t="shared" si="34"/>
        <v>0</v>
      </c>
      <c r="H447" s="485"/>
      <c r="I447" s="486"/>
      <c r="J447" s="485"/>
      <c r="K447" s="486"/>
      <c r="L447" s="485"/>
      <c r="M447" s="485"/>
      <c r="N447" s="485"/>
      <c r="O447" s="486"/>
      <c r="P447" s="486"/>
      <c r="Q447" s="486"/>
      <c r="R447" s="485"/>
      <c r="S447" s="486"/>
      <c r="T447" s="483">
        <f t="shared" si="35"/>
        <v>0</v>
      </c>
      <c r="U447" s="484">
        <f t="shared" si="36"/>
        <v>0</v>
      </c>
      <c r="V447" s="485"/>
      <c r="W447" s="486"/>
      <c r="X447" s="485"/>
      <c r="Y447" s="486"/>
      <c r="Z447" s="485"/>
      <c r="AA447" s="485"/>
      <c r="AB447" s="485"/>
      <c r="AC447" s="486"/>
      <c r="AD447" s="486"/>
      <c r="AE447" s="486"/>
      <c r="AF447" s="485"/>
      <c r="AG447" s="486"/>
    </row>
    <row r="448" spans="1:33" s="28" customFormat="1" ht="12.75" customHeight="1">
      <c r="A448" s="67" t="s">
        <v>472</v>
      </c>
      <c r="B448" s="2" t="s">
        <v>517</v>
      </c>
      <c r="C448" s="68"/>
      <c r="D448" s="66">
        <v>221582</v>
      </c>
      <c r="E448" s="66">
        <v>13</v>
      </c>
      <c r="F448" s="483">
        <f t="shared" si="33"/>
        <v>0</v>
      </c>
      <c r="G448" s="484">
        <f t="shared" si="34"/>
        <v>0</v>
      </c>
      <c r="H448" s="485"/>
      <c r="I448" s="486"/>
      <c r="J448" s="485"/>
      <c r="K448" s="486"/>
      <c r="L448" s="485"/>
      <c r="M448" s="485"/>
      <c r="N448" s="485"/>
      <c r="O448" s="486"/>
      <c r="P448" s="486"/>
      <c r="Q448" s="486"/>
      <c r="R448" s="485"/>
      <c r="S448" s="486"/>
      <c r="T448" s="483">
        <f t="shared" si="35"/>
        <v>0</v>
      </c>
      <c r="U448" s="484">
        <f t="shared" si="36"/>
        <v>0</v>
      </c>
      <c r="V448" s="485"/>
      <c r="W448" s="486"/>
      <c r="X448" s="485"/>
      <c r="Y448" s="486"/>
      <c r="Z448" s="485"/>
      <c r="AA448" s="485"/>
      <c r="AB448" s="485"/>
      <c r="AC448" s="486"/>
      <c r="AD448" s="486"/>
      <c r="AE448" s="486"/>
      <c r="AF448" s="485"/>
      <c r="AG448" s="486"/>
    </row>
    <row r="449" spans="1:33" s="28" customFormat="1" ht="12.75" customHeight="1">
      <c r="A449" s="67" t="s">
        <v>472</v>
      </c>
      <c r="B449" s="69" t="s">
        <v>518</v>
      </c>
      <c r="C449" s="70"/>
      <c r="D449" s="66">
        <v>221281</v>
      </c>
      <c r="E449" s="66">
        <v>13</v>
      </c>
      <c r="F449" s="483">
        <f t="shared" si="33"/>
        <v>0</v>
      </c>
      <c r="G449" s="484">
        <f t="shared" si="34"/>
        <v>0</v>
      </c>
      <c r="H449" s="485"/>
      <c r="I449" s="486"/>
      <c r="J449" s="485"/>
      <c r="K449" s="486"/>
      <c r="L449" s="485"/>
      <c r="M449" s="485"/>
      <c r="N449" s="485"/>
      <c r="O449" s="486"/>
      <c r="P449" s="486"/>
      <c r="Q449" s="486"/>
      <c r="R449" s="485"/>
      <c r="S449" s="486"/>
      <c r="T449" s="483">
        <f t="shared" si="35"/>
        <v>0</v>
      </c>
      <c r="U449" s="484">
        <f t="shared" si="36"/>
        <v>0</v>
      </c>
      <c r="V449" s="485"/>
      <c r="W449" s="486"/>
      <c r="X449" s="485"/>
      <c r="Y449" s="486"/>
      <c r="Z449" s="485"/>
      <c r="AA449" s="485"/>
      <c r="AB449" s="485"/>
      <c r="AC449" s="486"/>
      <c r="AD449" s="486"/>
      <c r="AE449" s="486"/>
      <c r="AF449" s="485"/>
      <c r="AG449" s="486"/>
    </row>
    <row r="450" spans="1:33" s="28" customFormat="1" ht="12.75" customHeight="1">
      <c r="A450" s="3" t="s">
        <v>472</v>
      </c>
      <c r="B450" s="2" t="s">
        <v>519</v>
      </c>
      <c r="C450" s="1"/>
      <c r="D450" s="66">
        <v>221333</v>
      </c>
      <c r="E450" s="66">
        <v>13</v>
      </c>
      <c r="F450" s="483">
        <f t="shared" si="33"/>
        <v>0</v>
      </c>
      <c r="G450" s="484">
        <f t="shared" si="34"/>
        <v>0</v>
      </c>
      <c r="H450" s="485"/>
      <c r="I450" s="486"/>
      <c r="J450" s="485"/>
      <c r="K450" s="486"/>
      <c r="L450" s="485"/>
      <c r="M450" s="485"/>
      <c r="N450" s="485"/>
      <c r="O450" s="486"/>
      <c r="P450" s="486"/>
      <c r="Q450" s="486"/>
      <c r="R450" s="485"/>
      <c r="S450" s="486"/>
      <c r="T450" s="483">
        <f t="shared" si="35"/>
        <v>0</v>
      </c>
      <c r="U450" s="484">
        <f t="shared" si="36"/>
        <v>0</v>
      </c>
      <c r="V450" s="485"/>
      <c r="W450" s="486"/>
      <c r="X450" s="485"/>
      <c r="Y450" s="486"/>
      <c r="Z450" s="485"/>
      <c r="AA450" s="485"/>
      <c r="AB450" s="485"/>
      <c r="AC450" s="486"/>
      <c r="AD450" s="486"/>
      <c r="AE450" s="486"/>
      <c r="AF450" s="485"/>
      <c r="AG450" s="486"/>
    </row>
    <row r="451" spans="1:33" s="28" customFormat="1" ht="12.75" customHeight="1">
      <c r="A451" s="67" t="s">
        <v>472</v>
      </c>
      <c r="B451" s="2" t="s">
        <v>520</v>
      </c>
      <c r="C451" s="68"/>
      <c r="D451" s="66">
        <v>221388</v>
      </c>
      <c r="E451" s="66">
        <v>13</v>
      </c>
      <c r="F451" s="483">
        <f t="shared" si="33"/>
        <v>0</v>
      </c>
      <c r="G451" s="484">
        <f t="shared" si="34"/>
        <v>0</v>
      </c>
      <c r="H451" s="485"/>
      <c r="I451" s="486"/>
      <c r="J451" s="485"/>
      <c r="K451" s="486"/>
      <c r="L451" s="485"/>
      <c r="M451" s="485"/>
      <c r="N451" s="485"/>
      <c r="O451" s="486"/>
      <c r="P451" s="486"/>
      <c r="Q451" s="486"/>
      <c r="R451" s="485"/>
      <c r="S451" s="486"/>
      <c r="T451" s="483">
        <f t="shared" si="35"/>
        <v>0</v>
      </c>
      <c r="U451" s="484">
        <f t="shared" si="36"/>
        <v>0</v>
      </c>
      <c r="V451" s="485"/>
      <c r="W451" s="486"/>
      <c r="X451" s="485"/>
      <c r="Y451" s="486"/>
      <c r="Z451" s="485"/>
      <c r="AA451" s="485"/>
      <c r="AB451" s="485"/>
      <c r="AC451" s="486"/>
      <c r="AD451" s="486"/>
      <c r="AE451" s="486"/>
      <c r="AF451" s="485"/>
      <c r="AG451" s="486"/>
    </row>
    <row r="452" spans="1:33" s="28" customFormat="1" ht="12.75" customHeight="1">
      <c r="A452" s="67" t="s">
        <v>472</v>
      </c>
      <c r="B452" s="69" t="s">
        <v>521</v>
      </c>
      <c r="C452" s="70"/>
      <c r="D452" s="66">
        <v>221494</v>
      </c>
      <c r="E452" s="66">
        <v>13</v>
      </c>
      <c r="F452" s="483">
        <f t="shared" si="33"/>
        <v>0</v>
      </c>
      <c r="G452" s="484">
        <f t="shared" si="34"/>
        <v>0</v>
      </c>
      <c r="H452" s="485"/>
      <c r="I452" s="486"/>
      <c r="J452" s="485"/>
      <c r="K452" s="486"/>
      <c r="L452" s="485"/>
      <c r="M452" s="485"/>
      <c r="N452" s="485"/>
      <c r="O452" s="486"/>
      <c r="P452" s="486"/>
      <c r="Q452" s="486"/>
      <c r="R452" s="485"/>
      <c r="S452" s="486"/>
      <c r="T452" s="483">
        <f t="shared" si="35"/>
        <v>0</v>
      </c>
      <c r="U452" s="484">
        <f t="shared" si="36"/>
        <v>0</v>
      </c>
      <c r="V452" s="485"/>
      <c r="W452" s="486"/>
      <c r="X452" s="485"/>
      <c r="Y452" s="486"/>
      <c r="Z452" s="485"/>
      <c r="AA452" s="485"/>
      <c r="AB452" s="485"/>
      <c r="AC452" s="486"/>
      <c r="AD452" s="486"/>
      <c r="AE452" s="486"/>
      <c r="AF452" s="485"/>
      <c r="AG452" s="486"/>
    </row>
    <row r="453" spans="1:33" s="28" customFormat="1" ht="12.75" customHeight="1">
      <c r="A453" s="3" t="s">
        <v>472</v>
      </c>
      <c r="B453" s="2" t="s">
        <v>522</v>
      </c>
      <c r="C453" s="1"/>
      <c r="D453" s="66">
        <v>221634</v>
      </c>
      <c r="E453" s="66">
        <v>13</v>
      </c>
      <c r="F453" s="483">
        <f t="shared" si="33"/>
        <v>0</v>
      </c>
      <c r="G453" s="484">
        <f t="shared" si="34"/>
        <v>0</v>
      </c>
      <c r="H453" s="485"/>
      <c r="I453" s="486"/>
      <c r="J453" s="485"/>
      <c r="K453" s="486"/>
      <c r="L453" s="485"/>
      <c r="M453" s="485"/>
      <c r="N453" s="485"/>
      <c r="O453" s="486"/>
      <c r="P453" s="486"/>
      <c r="Q453" s="486"/>
      <c r="R453" s="485"/>
      <c r="S453" s="486"/>
      <c r="T453" s="483">
        <f t="shared" si="35"/>
        <v>0</v>
      </c>
      <c r="U453" s="484">
        <f t="shared" si="36"/>
        <v>0</v>
      </c>
      <c r="V453" s="485"/>
      <c r="W453" s="486"/>
      <c r="X453" s="485"/>
      <c r="Y453" s="486"/>
      <c r="Z453" s="485"/>
      <c r="AA453" s="485"/>
      <c r="AB453" s="485"/>
      <c r="AC453" s="486"/>
      <c r="AD453" s="486"/>
      <c r="AE453" s="486"/>
      <c r="AF453" s="485"/>
      <c r="AG453" s="486"/>
    </row>
    <row r="454" spans="1:33" s="28" customFormat="1" ht="13.5" customHeight="1">
      <c r="A454" s="117" t="s">
        <v>523</v>
      </c>
      <c r="B454" s="146" t="s">
        <v>524</v>
      </c>
      <c r="C454" s="73"/>
      <c r="D454" s="74">
        <v>228723</v>
      </c>
      <c r="E454" s="74">
        <v>1</v>
      </c>
      <c r="F454" s="483">
        <f t="shared" si="33"/>
        <v>1321004</v>
      </c>
      <c r="G454" s="484">
        <f t="shared" si="34"/>
        <v>1347876</v>
      </c>
      <c r="H454" s="485">
        <v>1149447</v>
      </c>
      <c r="I454" s="486">
        <v>1146406</v>
      </c>
      <c r="J454" s="485">
        <v>11928</v>
      </c>
      <c r="K454" s="486">
        <v>17346</v>
      </c>
      <c r="L454" s="485">
        <v>147908</v>
      </c>
      <c r="M454" s="485">
        <v>0</v>
      </c>
      <c r="N454" s="485">
        <v>11721</v>
      </c>
      <c r="O454" s="486">
        <v>173472</v>
      </c>
      <c r="P454" s="486">
        <v>44</v>
      </c>
      <c r="Q454" s="486">
        <v>10608</v>
      </c>
      <c r="R454" s="485"/>
      <c r="S454" s="486"/>
      <c r="T454" s="483">
        <f t="shared" si="35"/>
        <v>224212</v>
      </c>
      <c r="U454" s="484">
        <f t="shared" si="36"/>
        <v>226862</v>
      </c>
      <c r="V454" s="485">
        <v>185431</v>
      </c>
      <c r="W454" s="486">
        <v>185610</v>
      </c>
      <c r="X454" s="485">
        <v>5865</v>
      </c>
      <c r="Y454" s="486">
        <v>6357</v>
      </c>
      <c r="Z454" s="485">
        <v>28409</v>
      </c>
      <c r="AA454" s="485">
        <v>0</v>
      </c>
      <c r="AB454" s="485">
        <v>4507</v>
      </c>
      <c r="AC454" s="486">
        <v>30815</v>
      </c>
      <c r="AD454" s="486">
        <v>91</v>
      </c>
      <c r="AE454" s="486">
        <v>3989</v>
      </c>
      <c r="AF454" s="485"/>
      <c r="AG454" s="486"/>
    </row>
    <row r="455" spans="1:33" s="28" customFormat="1" ht="12.75" customHeight="1">
      <c r="A455" s="117" t="s">
        <v>523</v>
      </c>
      <c r="B455" s="72" t="s">
        <v>525</v>
      </c>
      <c r="C455" s="73"/>
      <c r="D455" s="74">
        <v>229115</v>
      </c>
      <c r="E455" s="74">
        <v>1</v>
      </c>
      <c r="F455" s="483">
        <f t="shared" si="33"/>
        <v>810366</v>
      </c>
      <c r="G455" s="484">
        <f t="shared" si="34"/>
        <v>836850</v>
      </c>
      <c r="H455" s="485">
        <v>642108</v>
      </c>
      <c r="I455" s="486">
        <v>647423</v>
      </c>
      <c r="J455" s="485">
        <v>11203</v>
      </c>
      <c r="K455" s="486">
        <v>9054</v>
      </c>
      <c r="L455" s="485">
        <v>155953</v>
      </c>
      <c r="M455" s="485">
        <v>1102</v>
      </c>
      <c r="N455" s="485">
        <v>0</v>
      </c>
      <c r="O455" s="486">
        <v>179836</v>
      </c>
      <c r="P455" s="486">
        <v>537</v>
      </c>
      <c r="Q455" s="486">
        <v>0</v>
      </c>
      <c r="R455" s="485"/>
      <c r="S455" s="486"/>
      <c r="T455" s="483">
        <f t="shared" si="35"/>
        <v>122224</v>
      </c>
      <c r="U455" s="484">
        <f t="shared" si="36"/>
        <v>118252</v>
      </c>
      <c r="V455" s="485">
        <v>87142</v>
      </c>
      <c r="W455" s="486">
        <v>83855</v>
      </c>
      <c r="X455" s="485">
        <v>1121</v>
      </c>
      <c r="Y455" s="486">
        <v>1718</v>
      </c>
      <c r="Z455" s="485">
        <v>33889</v>
      </c>
      <c r="AA455" s="485">
        <v>72</v>
      </c>
      <c r="AB455" s="485">
        <v>0</v>
      </c>
      <c r="AC455" s="486">
        <v>32670</v>
      </c>
      <c r="AD455" s="486">
        <v>9</v>
      </c>
      <c r="AE455" s="486">
        <v>0</v>
      </c>
      <c r="AF455" s="485"/>
      <c r="AG455" s="486"/>
    </row>
    <row r="456" spans="1:33" s="28" customFormat="1" ht="12.75" customHeight="1">
      <c r="A456" s="117" t="s">
        <v>523</v>
      </c>
      <c r="B456" s="72" t="s">
        <v>526</v>
      </c>
      <c r="C456" s="73"/>
      <c r="D456" s="74">
        <v>225511</v>
      </c>
      <c r="E456" s="74">
        <v>1</v>
      </c>
      <c r="F456" s="483">
        <f t="shared" si="33"/>
        <v>920538</v>
      </c>
      <c r="G456" s="484">
        <f t="shared" si="34"/>
        <v>954406</v>
      </c>
      <c r="H456" s="485">
        <v>669019</v>
      </c>
      <c r="I456" s="486">
        <v>680024</v>
      </c>
      <c r="J456" s="485">
        <v>19101</v>
      </c>
      <c r="K456" s="486">
        <v>15752</v>
      </c>
      <c r="L456" s="485">
        <v>232349</v>
      </c>
      <c r="M456" s="485">
        <v>69</v>
      </c>
      <c r="N456" s="485">
        <v>0</v>
      </c>
      <c r="O456" s="486">
        <v>258612</v>
      </c>
      <c r="P456" s="486">
        <v>18</v>
      </c>
      <c r="Q456" s="486">
        <v>0</v>
      </c>
      <c r="R456" s="485"/>
      <c r="S456" s="486"/>
      <c r="T456" s="483">
        <f t="shared" si="35"/>
        <v>175307</v>
      </c>
      <c r="U456" s="484">
        <f t="shared" si="36"/>
        <v>173786</v>
      </c>
      <c r="V456" s="485">
        <v>156995</v>
      </c>
      <c r="W456" s="486">
        <v>150754</v>
      </c>
      <c r="X456" s="485">
        <v>2269</v>
      </c>
      <c r="Y456" s="486">
        <v>1839</v>
      </c>
      <c r="Z456" s="485">
        <v>15866</v>
      </c>
      <c r="AA456" s="485">
        <v>177</v>
      </c>
      <c r="AB456" s="485">
        <v>0</v>
      </c>
      <c r="AC456" s="486">
        <v>21031</v>
      </c>
      <c r="AD456" s="486">
        <v>162</v>
      </c>
      <c r="AE456" s="486">
        <v>0</v>
      </c>
      <c r="AF456" s="485"/>
      <c r="AG456" s="486"/>
    </row>
    <row r="457" spans="1:33" s="28" customFormat="1" ht="12.75" customHeight="1">
      <c r="A457" s="117" t="s">
        <v>523</v>
      </c>
      <c r="B457" s="72" t="s">
        <v>527</v>
      </c>
      <c r="C457" s="73"/>
      <c r="D457" s="74">
        <v>227216</v>
      </c>
      <c r="E457" s="74">
        <v>1</v>
      </c>
      <c r="F457" s="483">
        <f t="shared" si="33"/>
        <v>811284</v>
      </c>
      <c r="G457" s="484">
        <f t="shared" si="34"/>
        <v>818557</v>
      </c>
      <c r="H457" s="485">
        <v>669560</v>
      </c>
      <c r="I457" s="486">
        <v>645273</v>
      </c>
      <c r="J457" s="485">
        <v>4769</v>
      </c>
      <c r="K457" s="486">
        <v>5097</v>
      </c>
      <c r="L457" s="485">
        <v>136907</v>
      </c>
      <c r="M457" s="485">
        <v>30</v>
      </c>
      <c r="N457" s="485">
        <v>18</v>
      </c>
      <c r="O457" s="486">
        <v>168073</v>
      </c>
      <c r="P457" s="486">
        <v>108</v>
      </c>
      <c r="Q457" s="486">
        <v>6</v>
      </c>
      <c r="R457" s="485"/>
      <c r="S457" s="486"/>
      <c r="T457" s="483">
        <f t="shared" si="35"/>
        <v>105086</v>
      </c>
      <c r="U457" s="484">
        <f t="shared" si="36"/>
        <v>104303</v>
      </c>
      <c r="V457" s="485">
        <v>63999</v>
      </c>
      <c r="W457" s="486">
        <v>63133</v>
      </c>
      <c r="X457" s="485">
        <v>760</v>
      </c>
      <c r="Y457" s="486">
        <v>1323</v>
      </c>
      <c r="Z457" s="485">
        <v>40309</v>
      </c>
      <c r="AA457" s="485">
        <v>18</v>
      </c>
      <c r="AB457" s="485">
        <v>0</v>
      </c>
      <c r="AC457" s="486">
        <v>39769</v>
      </c>
      <c r="AD457" s="486">
        <v>78</v>
      </c>
      <c r="AE457" s="486">
        <v>0</v>
      </c>
      <c r="AF457" s="485"/>
      <c r="AG457" s="486"/>
    </row>
    <row r="458" spans="1:33" s="28" customFormat="1" ht="12.75" customHeight="1">
      <c r="A458" s="117" t="s">
        <v>523</v>
      </c>
      <c r="B458" s="72" t="s">
        <v>528</v>
      </c>
      <c r="C458" s="73"/>
      <c r="D458" s="74">
        <v>228769</v>
      </c>
      <c r="E458" s="74">
        <v>1</v>
      </c>
      <c r="F458" s="483">
        <f t="shared" si="33"/>
        <v>708058</v>
      </c>
      <c r="G458" s="484">
        <f t="shared" si="34"/>
        <v>733402</v>
      </c>
      <c r="H458" s="485">
        <v>488588</v>
      </c>
      <c r="I458" s="486">
        <v>500334</v>
      </c>
      <c r="J458" s="485">
        <v>2414</v>
      </c>
      <c r="K458" s="486">
        <v>3432</v>
      </c>
      <c r="L458" s="485">
        <v>217041</v>
      </c>
      <c r="M458" s="485">
        <v>15</v>
      </c>
      <c r="N458" s="485">
        <v>0</v>
      </c>
      <c r="O458" s="486">
        <v>229543</v>
      </c>
      <c r="P458" s="486">
        <v>93</v>
      </c>
      <c r="Q458" s="486">
        <v>0</v>
      </c>
      <c r="R458" s="485"/>
      <c r="S458" s="486"/>
      <c r="T458" s="483">
        <f t="shared" si="35"/>
        <v>214094</v>
      </c>
      <c r="U458" s="484">
        <f t="shared" si="36"/>
        <v>211630</v>
      </c>
      <c r="V458" s="485">
        <v>93213</v>
      </c>
      <c r="W458" s="486">
        <v>82000</v>
      </c>
      <c r="X458" s="485">
        <v>5979</v>
      </c>
      <c r="Y458" s="486">
        <v>4981</v>
      </c>
      <c r="Z458" s="485">
        <v>114899</v>
      </c>
      <c r="AA458" s="485">
        <v>3</v>
      </c>
      <c r="AB458" s="485">
        <v>0</v>
      </c>
      <c r="AC458" s="486">
        <v>124646</v>
      </c>
      <c r="AD458" s="486">
        <v>3</v>
      </c>
      <c r="AE458" s="486">
        <v>0</v>
      </c>
      <c r="AF458" s="485"/>
      <c r="AG458" s="486"/>
    </row>
    <row r="459" spans="1:33" s="28" customFormat="1" ht="12.75" customHeight="1">
      <c r="A459" s="117" t="s">
        <v>523</v>
      </c>
      <c r="B459" s="72" t="s">
        <v>529</v>
      </c>
      <c r="C459" s="73"/>
      <c r="D459" s="74">
        <v>228778</v>
      </c>
      <c r="E459" s="74">
        <v>1</v>
      </c>
      <c r="F459" s="483">
        <f t="shared" si="33"/>
        <v>1089970</v>
      </c>
      <c r="G459" s="484">
        <f t="shared" si="34"/>
        <v>1100734</v>
      </c>
      <c r="H459" s="485">
        <v>991445</v>
      </c>
      <c r="I459" s="486">
        <v>988638</v>
      </c>
      <c r="J459" s="485">
        <v>6048</v>
      </c>
      <c r="K459" s="486">
        <v>6459</v>
      </c>
      <c r="L459" s="485">
        <v>58331</v>
      </c>
      <c r="M459" s="485">
        <v>34092</v>
      </c>
      <c r="N459" s="485">
        <v>54</v>
      </c>
      <c r="O459" s="486">
        <v>71254</v>
      </c>
      <c r="P459" s="486">
        <v>34362</v>
      </c>
      <c r="Q459" s="486">
        <v>21</v>
      </c>
      <c r="R459" s="485"/>
      <c r="S459" s="486"/>
      <c r="T459" s="483">
        <f t="shared" si="35"/>
        <v>239440</v>
      </c>
      <c r="U459" s="484">
        <f t="shared" si="36"/>
        <v>239687</v>
      </c>
      <c r="V459" s="485">
        <v>233743</v>
      </c>
      <c r="W459" s="486">
        <v>232281</v>
      </c>
      <c r="X459" s="485">
        <v>671</v>
      </c>
      <c r="Y459" s="486">
        <v>1523</v>
      </c>
      <c r="Z459" s="485">
        <v>2470</v>
      </c>
      <c r="AA459" s="485">
        <v>1653</v>
      </c>
      <c r="AB459" s="485">
        <v>903</v>
      </c>
      <c r="AC459" s="486">
        <v>3538</v>
      </c>
      <c r="AD459" s="486">
        <v>1597</v>
      </c>
      <c r="AE459" s="486">
        <v>748</v>
      </c>
      <c r="AF459" s="485"/>
      <c r="AG459" s="486"/>
    </row>
    <row r="460" spans="1:33" s="28" customFormat="1" ht="12.75" customHeight="1">
      <c r="A460" s="117" t="s">
        <v>523</v>
      </c>
      <c r="B460" s="72" t="s">
        <v>530</v>
      </c>
      <c r="C460" s="73"/>
      <c r="D460" s="74">
        <v>228787</v>
      </c>
      <c r="E460" s="74">
        <v>1</v>
      </c>
      <c r="F460" s="483">
        <f t="shared" si="33"/>
        <v>476193</v>
      </c>
      <c r="G460" s="484">
        <f t="shared" si="34"/>
        <v>510701</v>
      </c>
      <c r="H460" s="485">
        <v>446482</v>
      </c>
      <c r="I460" s="486">
        <v>477428</v>
      </c>
      <c r="J460" s="485">
        <v>4292</v>
      </c>
      <c r="K460" s="486">
        <v>4172</v>
      </c>
      <c r="L460" s="485">
        <v>25419</v>
      </c>
      <c r="M460" s="485">
        <v>0</v>
      </c>
      <c r="N460" s="485">
        <v>0</v>
      </c>
      <c r="O460" s="486">
        <v>29101</v>
      </c>
      <c r="P460" s="486">
        <v>0</v>
      </c>
      <c r="Q460" s="486">
        <v>0</v>
      </c>
      <c r="R460" s="485"/>
      <c r="S460" s="486"/>
      <c r="T460" s="483">
        <f t="shared" si="35"/>
        <v>161601</v>
      </c>
      <c r="U460" s="484">
        <f t="shared" si="36"/>
        <v>154462</v>
      </c>
      <c r="V460" s="485">
        <v>143482</v>
      </c>
      <c r="W460" s="486">
        <v>135511</v>
      </c>
      <c r="X460" s="485">
        <v>681</v>
      </c>
      <c r="Y460" s="486">
        <v>680</v>
      </c>
      <c r="Z460" s="485">
        <v>17438</v>
      </c>
      <c r="AA460" s="485">
        <v>0</v>
      </c>
      <c r="AB460" s="485">
        <v>0</v>
      </c>
      <c r="AC460" s="486">
        <v>18271</v>
      </c>
      <c r="AD460" s="486">
        <v>0</v>
      </c>
      <c r="AE460" s="486">
        <v>0</v>
      </c>
      <c r="AF460" s="485"/>
      <c r="AG460" s="486"/>
    </row>
    <row r="461" spans="1:33" s="28" customFormat="1" ht="15" customHeight="1">
      <c r="A461" s="117" t="s">
        <v>523</v>
      </c>
      <c r="B461" s="72" t="s">
        <v>533</v>
      </c>
      <c r="C461" s="118"/>
      <c r="D461" s="74">
        <v>229027</v>
      </c>
      <c r="E461" s="74">
        <v>1</v>
      </c>
      <c r="F461" s="483">
        <f t="shared" si="33"/>
        <v>653870</v>
      </c>
      <c r="G461" s="484">
        <f t="shared" si="34"/>
        <v>694905</v>
      </c>
      <c r="H461" s="485">
        <v>572055</v>
      </c>
      <c r="I461" s="486">
        <v>583394</v>
      </c>
      <c r="J461" s="485">
        <v>2272</v>
      </c>
      <c r="K461" s="486">
        <v>2282</v>
      </c>
      <c r="L461" s="485">
        <v>78949</v>
      </c>
      <c r="M461" s="485">
        <v>360</v>
      </c>
      <c r="N461" s="485">
        <v>234</v>
      </c>
      <c r="O461" s="486">
        <v>108503</v>
      </c>
      <c r="P461" s="486">
        <v>249</v>
      </c>
      <c r="Q461" s="486">
        <v>477</v>
      </c>
      <c r="R461" s="485"/>
      <c r="S461" s="486"/>
      <c r="T461" s="483">
        <f t="shared" si="35"/>
        <v>68875</v>
      </c>
      <c r="U461" s="484">
        <f t="shared" si="36"/>
        <v>68536</v>
      </c>
      <c r="V461" s="485">
        <v>58092</v>
      </c>
      <c r="W461" s="486">
        <v>59309</v>
      </c>
      <c r="X461" s="485">
        <v>2764</v>
      </c>
      <c r="Y461" s="486">
        <v>2119</v>
      </c>
      <c r="Z461" s="485">
        <v>8019</v>
      </c>
      <c r="AA461" s="485">
        <v>0</v>
      </c>
      <c r="AB461" s="485">
        <v>0</v>
      </c>
      <c r="AC461" s="486">
        <v>7108</v>
      </c>
      <c r="AD461" s="486">
        <v>0</v>
      </c>
      <c r="AE461" s="486">
        <v>0</v>
      </c>
      <c r="AF461" s="485"/>
      <c r="AG461" s="486"/>
    </row>
    <row r="462" spans="1:33" s="28" customFormat="1" ht="15" customHeight="1">
      <c r="A462" s="117" t="s">
        <v>523</v>
      </c>
      <c r="B462" s="149" t="s">
        <v>547</v>
      </c>
      <c r="C462" s="118"/>
      <c r="D462" s="74">
        <v>228459</v>
      </c>
      <c r="E462" s="74">
        <v>2</v>
      </c>
      <c r="F462" s="483">
        <f t="shared" si="33"/>
        <v>874668</v>
      </c>
      <c r="G462" s="484">
        <f t="shared" si="34"/>
        <v>876678</v>
      </c>
      <c r="H462" s="485">
        <v>783119</v>
      </c>
      <c r="I462" s="486">
        <v>765656</v>
      </c>
      <c r="J462" s="485">
        <v>28080</v>
      </c>
      <c r="K462" s="486">
        <v>28784</v>
      </c>
      <c r="L462" s="485">
        <v>63010</v>
      </c>
      <c r="M462" s="485">
        <v>414</v>
      </c>
      <c r="N462" s="485">
        <v>45</v>
      </c>
      <c r="O462" s="486">
        <v>81777</v>
      </c>
      <c r="P462" s="486">
        <v>379</v>
      </c>
      <c r="Q462" s="486">
        <v>82</v>
      </c>
      <c r="R462" s="485"/>
      <c r="S462" s="486"/>
      <c r="T462" s="483">
        <f t="shared" si="35"/>
        <v>75155</v>
      </c>
      <c r="U462" s="484">
        <f t="shared" si="36"/>
        <v>73320</v>
      </c>
      <c r="V462" s="485">
        <v>48806</v>
      </c>
      <c r="W462" s="486">
        <v>43246</v>
      </c>
      <c r="X462" s="485">
        <v>10876</v>
      </c>
      <c r="Y462" s="486">
        <v>12166</v>
      </c>
      <c r="Z462" s="485">
        <v>14391</v>
      </c>
      <c r="AA462" s="485">
        <v>684</v>
      </c>
      <c r="AB462" s="485">
        <v>398</v>
      </c>
      <c r="AC462" s="486">
        <v>16794</v>
      </c>
      <c r="AD462" s="486">
        <v>726</v>
      </c>
      <c r="AE462" s="486">
        <v>388</v>
      </c>
      <c r="AF462" s="485"/>
      <c r="AG462" s="486"/>
    </row>
    <row r="463" spans="1:33" s="28" customFormat="1" ht="15" customHeight="1">
      <c r="A463" s="117" t="s">
        <v>523</v>
      </c>
      <c r="B463" s="72" t="s">
        <v>531</v>
      </c>
      <c r="C463" s="147"/>
      <c r="D463" s="74">
        <v>229179</v>
      </c>
      <c r="E463" s="74">
        <v>2</v>
      </c>
      <c r="F463" s="483">
        <f t="shared" si="33"/>
        <v>242611</v>
      </c>
      <c r="G463" s="484">
        <f t="shared" si="34"/>
        <v>246337</v>
      </c>
      <c r="H463" s="485">
        <v>158600</v>
      </c>
      <c r="I463" s="486">
        <v>154484</v>
      </c>
      <c r="J463" s="485">
        <v>7477</v>
      </c>
      <c r="K463" s="486">
        <v>8754</v>
      </c>
      <c r="L463" s="485">
        <v>76534</v>
      </c>
      <c r="M463" s="485">
        <v>0</v>
      </c>
      <c r="N463" s="485">
        <v>0</v>
      </c>
      <c r="O463" s="486">
        <v>83063</v>
      </c>
      <c r="P463" s="486">
        <v>36</v>
      </c>
      <c r="Q463" s="486">
        <v>0</v>
      </c>
      <c r="R463" s="485"/>
      <c r="S463" s="486"/>
      <c r="T463" s="483">
        <f t="shared" si="35"/>
        <v>93586</v>
      </c>
      <c r="U463" s="484">
        <f t="shared" si="36"/>
        <v>92115</v>
      </c>
      <c r="V463" s="485">
        <v>46731</v>
      </c>
      <c r="W463" s="486">
        <v>46289</v>
      </c>
      <c r="X463" s="485">
        <v>315</v>
      </c>
      <c r="Y463" s="486">
        <v>379</v>
      </c>
      <c r="Z463" s="485">
        <v>45346</v>
      </c>
      <c r="AA463" s="485">
        <v>1194</v>
      </c>
      <c r="AB463" s="485">
        <v>0</v>
      </c>
      <c r="AC463" s="486">
        <v>44722</v>
      </c>
      <c r="AD463" s="486">
        <v>725</v>
      </c>
      <c r="AE463" s="486">
        <v>0</v>
      </c>
      <c r="AF463" s="485"/>
      <c r="AG463" s="486"/>
    </row>
    <row r="464" spans="1:33" s="28" customFormat="1" ht="15" customHeight="1">
      <c r="A464" s="117" t="s">
        <v>523</v>
      </c>
      <c r="B464" s="72" t="s">
        <v>532</v>
      </c>
      <c r="C464" s="147" t="s">
        <v>976</v>
      </c>
      <c r="D464" s="74">
        <v>228796</v>
      </c>
      <c r="E464" s="74">
        <v>2</v>
      </c>
      <c r="F464" s="483">
        <f t="shared" si="33"/>
        <v>509419</v>
      </c>
      <c r="G464" s="484">
        <f t="shared" si="34"/>
        <v>518082</v>
      </c>
      <c r="H464" s="485">
        <v>418745</v>
      </c>
      <c r="I464" s="486">
        <v>426574</v>
      </c>
      <c r="J464" s="485">
        <v>1159</v>
      </c>
      <c r="K464" s="486">
        <v>1483</v>
      </c>
      <c r="L464" s="485">
        <v>89515</v>
      </c>
      <c r="M464" s="485">
        <v>0</v>
      </c>
      <c r="N464" s="485">
        <v>0</v>
      </c>
      <c r="O464" s="486">
        <v>90025</v>
      </c>
      <c r="P464" s="486">
        <v>0</v>
      </c>
      <c r="Q464" s="486">
        <v>0</v>
      </c>
      <c r="R464" s="485"/>
      <c r="S464" s="486"/>
      <c r="T464" s="483">
        <f t="shared" si="35"/>
        <v>58545</v>
      </c>
      <c r="U464" s="484">
        <f t="shared" si="36"/>
        <v>61825</v>
      </c>
      <c r="V464" s="485">
        <v>35138</v>
      </c>
      <c r="W464" s="486">
        <v>38251</v>
      </c>
      <c r="X464" s="485">
        <v>1073</v>
      </c>
      <c r="Y464" s="486">
        <v>483</v>
      </c>
      <c r="Z464" s="485">
        <v>22334</v>
      </c>
      <c r="AA464" s="485">
        <v>0</v>
      </c>
      <c r="AB464" s="485">
        <v>0</v>
      </c>
      <c r="AC464" s="486">
        <v>23091</v>
      </c>
      <c r="AD464" s="486">
        <v>0</v>
      </c>
      <c r="AE464" s="486">
        <v>0</v>
      </c>
      <c r="AF464" s="485"/>
      <c r="AG464" s="486"/>
    </row>
    <row r="465" spans="1:33" s="28" customFormat="1" ht="15" customHeight="1">
      <c r="A465" s="117" t="s">
        <v>523</v>
      </c>
      <c r="B465" s="72" t="s">
        <v>534</v>
      </c>
      <c r="C465" s="147"/>
      <c r="D465" s="74">
        <v>222831</v>
      </c>
      <c r="E465" s="74">
        <v>3</v>
      </c>
      <c r="F465" s="483">
        <f t="shared" si="33"/>
        <v>184109</v>
      </c>
      <c r="G465" s="484">
        <f t="shared" si="34"/>
        <v>191734</v>
      </c>
      <c r="H465" s="485">
        <v>156479</v>
      </c>
      <c r="I465" s="486">
        <v>158260</v>
      </c>
      <c r="J465" s="485">
        <v>0</v>
      </c>
      <c r="K465" s="486">
        <v>0</v>
      </c>
      <c r="L465" s="485">
        <v>27630</v>
      </c>
      <c r="M465" s="485">
        <v>0</v>
      </c>
      <c r="N465" s="485">
        <v>0</v>
      </c>
      <c r="O465" s="486">
        <v>33474</v>
      </c>
      <c r="P465" s="486">
        <v>0</v>
      </c>
      <c r="Q465" s="486">
        <v>0</v>
      </c>
      <c r="R465" s="485"/>
      <c r="S465" s="486"/>
      <c r="T465" s="483">
        <f t="shared" si="35"/>
        <v>28680</v>
      </c>
      <c r="U465" s="484">
        <f t="shared" si="36"/>
        <v>29757</v>
      </c>
      <c r="V465" s="485">
        <v>5590</v>
      </c>
      <c r="W465" s="486">
        <v>6126</v>
      </c>
      <c r="X465" s="485">
        <v>0</v>
      </c>
      <c r="Y465" s="486">
        <v>0</v>
      </c>
      <c r="Z465" s="485">
        <v>23090</v>
      </c>
      <c r="AA465" s="485">
        <v>0</v>
      </c>
      <c r="AB465" s="485">
        <v>0</v>
      </c>
      <c r="AC465" s="486">
        <v>23631</v>
      </c>
      <c r="AD465" s="486">
        <v>0</v>
      </c>
      <c r="AE465" s="486">
        <v>0</v>
      </c>
      <c r="AF465" s="485"/>
      <c r="AG465" s="486"/>
    </row>
    <row r="466" spans="1:33" s="28" customFormat="1" ht="15" customHeight="1">
      <c r="A466" s="117" t="s">
        <v>523</v>
      </c>
      <c r="B466" s="72" t="s">
        <v>535</v>
      </c>
      <c r="C466" s="147"/>
      <c r="D466" s="74">
        <v>226091</v>
      </c>
      <c r="E466" s="74">
        <v>3</v>
      </c>
      <c r="F466" s="483">
        <f t="shared" si="33"/>
        <v>227875</v>
      </c>
      <c r="G466" s="484">
        <f t="shared" si="34"/>
        <v>222801</v>
      </c>
      <c r="H466" s="485">
        <v>149996</v>
      </c>
      <c r="I466" s="486">
        <v>140748</v>
      </c>
      <c r="J466" s="485">
        <v>288</v>
      </c>
      <c r="K466" s="486">
        <v>0</v>
      </c>
      <c r="L466" s="485">
        <v>77591</v>
      </c>
      <c r="M466" s="485">
        <v>0</v>
      </c>
      <c r="N466" s="485">
        <v>0</v>
      </c>
      <c r="O466" s="486">
        <v>82053</v>
      </c>
      <c r="P466" s="486">
        <v>0</v>
      </c>
      <c r="Q466" s="486">
        <v>0</v>
      </c>
      <c r="R466" s="485"/>
      <c r="S466" s="486"/>
      <c r="T466" s="483">
        <f t="shared" si="35"/>
        <v>108868</v>
      </c>
      <c r="U466" s="484">
        <f t="shared" si="36"/>
        <v>110541</v>
      </c>
      <c r="V466" s="485">
        <v>14603</v>
      </c>
      <c r="W466" s="486">
        <v>11703</v>
      </c>
      <c r="X466" s="485">
        <v>0</v>
      </c>
      <c r="Y466" s="486">
        <v>0</v>
      </c>
      <c r="Z466" s="485">
        <v>94265</v>
      </c>
      <c r="AA466" s="485">
        <v>0</v>
      </c>
      <c r="AB466" s="485">
        <v>0</v>
      </c>
      <c r="AC466" s="486">
        <v>98838</v>
      </c>
      <c r="AD466" s="486">
        <v>0</v>
      </c>
      <c r="AE466" s="486">
        <v>0</v>
      </c>
      <c r="AF466" s="485"/>
      <c r="AG466" s="486"/>
    </row>
    <row r="467" spans="1:33" s="28" customFormat="1" ht="15" customHeight="1">
      <c r="A467" s="117" t="s">
        <v>523</v>
      </c>
      <c r="B467" s="72" t="s">
        <v>536</v>
      </c>
      <c r="C467" s="147"/>
      <c r="D467" s="74">
        <v>226833</v>
      </c>
      <c r="E467" s="74">
        <v>3</v>
      </c>
      <c r="F467" s="483">
        <f t="shared" si="33"/>
        <v>127691</v>
      </c>
      <c r="G467" s="484">
        <f t="shared" si="34"/>
        <v>129481</v>
      </c>
      <c r="H467" s="485">
        <v>104696</v>
      </c>
      <c r="I467" s="486">
        <v>100933</v>
      </c>
      <c r="J467" s="485">
        <v>1218</v>
      </c>
      <c r="K467" s="486">
        <v>1394</v>
      </c>
      <c r="L467" s="485">
        <v>21727</v>
      </c>
      <c r="M467" s="485">
        <v>50</v>
      </c>
      <c r="N467" s="485">
        <v>0</v>
      </c>
      <c r="O467" s="486">
        <v>27143</v>
      </c>
      <c r="P467" s="486">
        <v>11</v>
      </c>
      <c r="Q467" s="486">
        <v>0</v>
      </c>
      <c r="R467" s="485"/>
      <c r="S467" s="486"/>
      <c r="T467" s="483">
        <f t="shared" si="35"/>
        <v>10174</v>
      </c>
      <c r="U467" s="484">
        <f t="shared" si="36"/>
        <v>10416</v>
      </c>
      <c r="V467" s="485">
        <v>3841</v>
      </c>
      <c r="W467" s="486">
        <v>2868</v>
      </c>
      <c r="X467" s="485">
        <v>21</v>
      </c>
      <c r="Y467" s="486">
        <v>21</v>
      </c>
      <c r="Z467" s="485">
        <v>6312</v>
      </c>
      <c r="AA467" s="485">
        <v>0</v>
      </c>
      <c r="AB467" s="485">
        <v>0</v>
      </c>
      <c r="AC467" s="486">
        <v>7527</v>
      </c>
      <c r="AD467" s="486">
        <v>0</v>
      </c>
      <c r="AE467" s="486">
        <v>0</v>
      </c>
      <c r="AF467" s="485"/>
      <c r="AG467" s="486"/>
    </row>
    <row r="468" spans="1:33" s="28" customFormat="1" ht="15" customHeight="1">
      <c r="A468" s="117" t="s">
        <v>523</v>
      </c>
      <c r="B468" s="146" t="s">
        <v>537</v>
      </c>
      <c r="C468" s="147"/>
      <c r="D468" s="74">
        <v>227526</v>
      </c>
      <c r="E468" s="74">
        <v>3</v>
      </c>
      <c r="F468" s="483">
        <f t="shared" si="33"/>
        <v>213590</v>
      </c>
      <c r="G468" s="484">
        <f t="shared" si="34"/>
        <v>232521</v>
      </c>
      <c r="H468" s="485">
        <v>194375</v>
      </c>
      <c r="I468" s="486">
        <v>213605</v>
      </c>
      <c r="J468" s="485">
        <v>8541</v>
      </c>
      <c r="K468" s="486">
        <v>8245</v>
      </c>
      <c r="L468" s="485">
        <v>10548</v>
      </c>
      <c r="M468" s="485">
        <v>126</v>
      </c>
      <c r="N468" s="485">
        <v>0</v>
      </c>
      <c r="O468" s="486">
        <v>10593</v>
      </c>
      <c r="P468" s="486">
        <v>78</v>
      </c>
      <c r="Q468" s="486">
        <v>0</v>
      </c>
      <c r="R468" s="485"/>
      <c r="S468" s="486"/>
      <c r="T468" s="483">
        <f t="shared" si="35"/>
        <v>21439</v>
      </c>
      <c r="U468" s="484">
        <f t="shared" si="36"/>
        <v>18462</v>
      </c>
      <c r="V468" s="485">
        <v>8406</v>
      </c>
      <c r="W468" s="486">
        <v>7732</v>
      </c>
      <c r="X468" s="485">
        <v>3994</v>
      </c>
      <c r="Y468" s="486">
        <v>3551</v>
      </c>
      <c r="Z468" s="485">
        <v>9030</v>
      </c>
      <c r="AA468" s="485">
        <v>9</v>
      </c>
      <c r="AB468" s="485">
        <v>0</v>
      </c>
      <c r="AC468" s="486">
        <v>7179</v>
      </c>
      <c r="AD468" s="486">
        <v>0</v>
      </c>
      <c r="AE468" s="486">
        <v>0</v>
      </c>
      <c r="AF468" s="485"/>
      <c r="AG468" s="486"/>
    </row>
    <row r="469" spans="1:33" s="28" customFormat="1" ht="15" customHeight="1">
      <c r="A469" s="117" t="s">
        <v>523</v>
      </c>
      <c r="B469" s="72" t="s">
        <v>538</v>
      </c>
      <c r="C469" s="147"/>
      <c r="D469" s="74">
        <v>227881</v>
      </c>
      <c r="E469" s="74">
        <v>3</v>
      </c>
      <c r="F469" s="483">
        <f t="shared" si="33"/>
        <v>481856</v>
      </c>
      <c r="G469" s="484">
        <f t="shared" si="34"/>
        <v>496880</v>
      </c>
      <c r="H469" s="485">
        <v>362379</v>
      </c>
      <c r="I469" s="486">
        <v>358765</v>
      </c>
      <c r="J469" s="485">
        <v>2302</v>
      </c>
      <c r="K469" s="486">
        <v>4897</v>
      </c>
      <c r="L469" s="485">
        <v>117175</v>
      </c>
      <c r="M469" s="485">
        <v>0</v>
      </c>
      <c r="N469" s="485">
        <v>0</v>
      </c>
      <c r="O469" s="486">
        <v>133218</v>
      </c>
      <c r="P469" s="486">
        <v>0</v>
      </c>
      <c r="Q469" s="486">
        <v>0</v>
      </c>
      <c r="R469" s="485"/>
      <c r="S469" s="486"/>
      <c r="T469" s="483">
        <f t="shared" si="35"/>
        <v>39757</v>
      </c>
      <c r="U469" s="484">
        <f t="shared" si="36"/>
        <v>40162</v>
      </c>
      <c r="V469" s="485">
        <v>16707</v>
      </c>
      <c r="W469" s="486">
        <v>15896</v>
      </c>
      <c r="X469" s="485">
        <v>87</v>
      </c>
      <c r="Y469" s="486">
        <v>120</v>
      </c>
      <c r="Z469" s="485">
        <v>22942</v>
      </c>
      <c r="AA469" s="485">
        <v>21</v>
      </c>
      <c r="AB469" s="485">
        <v>0</v>
      </c>
      <c r="AC469" s="486">
        <v>24146</v>
      </c>
      <c r="AD469" s="486">
        <v>0</v>
      </c>
      <c r="AE469" s="486">
        <v>0</v>
      </c>
      <c r="AF469" s="485"/>
      <c r="AG469" s="486"/>
    </row>
    <row r="470" spans="1:33" s="28" customFormat="1" ht="15" customHeight="1">
      <c r="A470" s="117" t="s">
        <v>523</v>
      </c>
      <c r="B470" s="72" t="s">
        <v>539</v>
      </c>
      <c r="C470" s="147"/>
      <c r="D470" s="74">
        <v>228431</v>
      </c>
      <c r="E470" s="74">
        <v>3</v>
      </c>
      <c r="F470" s="483">
        <f t="shared" si="33"/>
        <v>289238</v>
      </c>
      <c r="G470" s="484">
        <f t="shared" si="34"/>
        <v>289088</v>
      </c>
      <c r="H470" s="485">
        <v>234060</v>
      </c>
      <c r="I470" s="486">
        <v>226511</v>
      </c>
      <c r="J470" s="485">
        <v>2460</v>
      </c>
      <c r="K470" s="486">
        <v>3816</v>
      </c>
      <c r="L470" s="485">
        <v>52461</v>
      </c>
      <c r="M470" s="485">
        <v>221</v>
      </c>
      <c r="N470" s="485">
        <v>36</v>
      </c>
      <c r="O470" s="486">
        <v>58144</v>
      </c>
      <c r="P470" s="486">
        <v>584</v>
      </c>
      <c r="Q470" s="486">
        <v>33</v>
      </c>
      <c r="R470" s="485"/>
      <c r="S470" s="486"/>
      <c r="T470" s="483">
        <f t="shared" si="35"/>
        <v>28942</v>
      </c>
      <c r="U470" s="484">
        <f t="shared" si="36"/>
        <v>29306</v>
      </c>
      <c r="V470" s="485">
        <v>13035</v>
      </c>
      <c r="W470" s="486">
        <v>11926</v>
      </c>
      <c r="X470" s="485">
        <v>273</v>
      </c>
      <c r="Y470" s="486">
        <v>644</v>
      </c>
      <c r="Z470" s="485">
        <v>15409</v>
      </c>
      <c r="AA470" s="485">
        <v>150</v>
      </c>
      <c r="AB470" s="485">
        <v>75</v>
      </c>
      <c r="AC470" s="486">
        <v>16581</v>
      </c>
      <c r="AD470" s="486">
        <v>102</v>
      </c>
      <c r="AE470" s="486">
        <v>53</v>
      </c>
      <c r="AF470" s="485"/>
      <c r="AG470" s="486"/>
    </row>
    <row r="471" spans="1:33" s="28" customFormat="1" ht="15" customHeight="1">
      <c r="A471" s="117" t="s">
        <v>523</v>
      </c>
      <c r="B471" s="72" t="s">
        <v>540</v>
      </c>
      <c r="C471" s="147"/>
      <c r="D471" s="74">
        <v>228501</v>
      </c>
      <c r="E471" s="74">
        <v>3</v>
      </c>
      <c r="F471" s="483">
        <f t="shared" si="33"/>
        <v>35579</v>
      </c>
      <c r="G471" s="484">
        <f t="shared" si="34"/>
        <v>34365</v>
      </c>
      <c r="H471" s="485">
        <v>29048</v>
      </c>
      <c r="I471" s="486">
        <v>27376</v>
      </c>
      <c r="J471" s="485">
        <v>514</v>
      </c>
      <c r="K471" s="486">
        <v>254</v>
      </c>
      <c r="L471" s="485">
        <v>5473</v>
      </c>
      <c r="M471" s="485">
        <v>544</v>
      </c>
      <c r="N471" s="485">
        <v>0</v>
      </c>
      <c r="O471" s="486">
        <v>6015</v>
      </c>
      <c r="P471" s="486">
        <v>720</v>
      </c>
      <c r="Q471" s="486">
        <v>0</v>
      </c>
      <c r="R471" s="485"/>
      <c r="S471" s="486"/>
      <c r="T471" s="483">
        <f t="shared" si="35"/>
        <v>9341</v>
      </c>
      <c r="U471" s="484">
        <f t="shared" si="36"/>
        <v>8882</v>
      </c>
      <c r="V471" s="485">
        <v>2117</v>
      </c>
      <c r="W471" s="486">
        <v>2065</v>
      </c>
      <c r="X471" s="485">
        <v>54</v>
      </c>
      <c r="Y471" s="486">
        <v>102</v>
      </c>
      <c r="Z471" s="485">
        <v>7170</v>
      </c>
      <c r="AA471" s="485">
        <v>0</v>
      </c>
      <c r="AB471" s="485">
        <v>0</v>
      </c>
      <c r="AC471" s="486">
        <v>6711</v>
      </c>
      <c r="AD471" s="486">
        <v>4</v>
      </c>
      <c r="AE471" s="486">
        <v>0</v>
      </c>
      <c r="AF471" s="485"/>
      <c r="AG471" s="486"/>
    </row>
    <row r="472" spans="1:33" s="28" customFormat="1" ht="15" customHeight="1">
      <c r="A472" s="117" t="s">
        <v>523</v>
      </c>
      <c r="B472" s="72" t="s">
        <v>541</v>
      </c>
      <c r="C472" s="147"/>
      <c r="D472" s="74">
        <v>228529</v>
      </c>
      <c r="E472" s="74">
        <v>3</v>
      </c>
      <c r="F472" s="483">
        <f t="shared" si="33"/>
        <v>287851</v>
      </c>
      <c r="G472" s="484">
        <f t="shared" si="34"/>
        <v>285921</v>
      </c>
      <c r="H472" s="485">
        <v>206570</v>
      </c>
      <c r="I472" s="486">
        <v>200150</v>
      </c>
      <c r="J472" s="485">
        <v>21516</v>
      </c>
      <c r="K472" s="486">
        <v>18349</v>
      </c>
      <c r="L472" s="485">
        <v>59393</v>
      </c>
      <c r="M472" s="485">
        <v>354</v>
      </c>
      <c r="N472" s="485">
        <v>18</v>
      </c>
      <c r="O472" s="486">
        <v>67270</v>
      </c>
      <c r="P472" s="486">
        <v>152</v>
      </c>
      <c r="Q472" s="486">
        <v>0</v>
      </c>
      <c r="R472" s="485"/>
      <c r="S472" s="486"/>
      <c r="T472" s="483">
        <f t="shared" si="35"/>
        <v>25624</v>
      </c>
      <c r="U472" s="484">
        <f t="shared" si="36"/>
        <v>28084</v>
      </c>
      <c r="V472" s="485">
        <v>4874</v>
      </c>
      <c r="W472" s="486">
        <v>4574</v>
      </c>
      <c r="X472" s="485">
        <v>3863</v>
      </c>
      <c r="Y472" s="486">
        <v>4348</v>
      </c>
      <c r="Z472" s="485">
        <v>16851</v>
      </c>
      <c r="AA472" s="485">
        <v>36</v>
      </c>
      <c r="AB472" s="485">
        <v>0</v>
      </c>
      <c r="AC472" s="486">
        <v>19162</v>
      </c>
      <c r="AD472" s="486">
        <v>0</v>
      </c>
      <c r="AE472" s="486">
        <v>0</v>
      </c>
      <c r="AF472" s="485"/>
      <c r="AG472" s="486"/>
    </row>
    <row r="473" spans="1:33" s="28" customFormat="1" ht="15" customHeight="1">
      <c r="A473" s="117" t="s">
        <v>523</v>
      </c>
      <c r="B473" s="146" t="s">
        <v>542</v>
      </c>
      <c r="C473" s="147"/>
      <c r="D473" s="74">
        <v>226152</v>
      </c>
      <c r="E473" s="74">
        <v>3</v>
      </c>
      <c r="F473" s="483">
        <f t="shared" si="33"/>
        <v>166962</v>
      </c>
      <c r="G473" s="484">
        <f t="shared" si="34"/>
        <v>174352</v>
      </c>
      <c r="H473" s="485">
        <v>143507</v>
      </c>
      <c r="I473" s="486">
        <v>142865</v>
      </c>
      <c r="J473" s="485">
        <v>1374</v>
      </c>
      <c r="K473" s="486">
        <v>936</v>
      </c>
      <c r="L473" s="485">
        <v>22081</v>
      </c>
      <c r="M473" s="485">
        <v>0</v>
      </c>
      <c r="N473" s="485">
        <v>0</v>
      </c>
      <c r="O473" s="486">
        <v>30551</v>
      </c>
      <c r="P473" s="486">
        <v>0</v>
      </c>
      <c r="Q473" s="486">
        <v>0</v>
      </c>
      <c r="R473" s="485"/>
      <c r="S473" s="486"/>
      <c r="T473" s="483">
        <f t="shared" si="35"/>
        <v>13664</v>
      </c>
      <c r="U473" s="484">
        <f t="shared" si="36"/>
        <v>13068</v>
      </c>
      <c r="V473" s="485">
        <v>7524</v>
      </c>
      <c r="W473" s="486">
        <v>6685</v>
      </c>
      <c r="X473" s="485">
        <v>75</v>
      </c>
      <c r="Y473" s="486">
        <v>117</v>
      </c>
      <c r="Z473" s="485">
        <v>6065</v>
      </c>
      <c r="AA473" s="485">
        <v>0</v>
      </c>
      <c r="AB473" s="485">
        <v>0</v>
      </c>
      <c r="AC473" s="486">
        <v>6263</v>
      </c>
      <c r="AD473" s="486">
        <v>3</v>
      </c>
      <c r="AE473" s="486">
        <v>0</v>
      </c>
      <c r="AF473" s="485"/>
      <c r="AG473" s="486"/>
    </row>
    <row r="474" spans="1:33" s="28" customFormat="1" ht="15" customHeight="1">
      <c r="A474" s="117" t="s">
        <v>523</v>
      </c>
      <c r="B474" s="146" t="s">
        <v>543</v>
      </c>
      <c r="C474" s="147"/>
      <c r="D474" s="74">
        <v>224554</v>
      </c>
      <c r="E474" s="74">
        <v>3</v>
      </c>
      <c r="F474" s="483">
        <f t="shared" si="33"/>
        <v>192113</v>
      </c>
      <c r="G474" s="484">
        <f t="shared" si="34"/>
        <v>190199</v>
      </c>
      <c r="H474" s="485">
        <v>99295</v>
      </c>
      <c r="I474" s="486">
        <v>100576</v>
      </c>
      <c r="J474" s="485">
        <v>11951</v>
      </c>
      <c r="K474" s="486">
        <v>12593</v>
      </c>
      <c r="L474" s="485">
        <v>73936</v>
      </c>
      <c r="M474" s="485">
        <v>57</v>
      </c>
      <c r="N474" s="485">
        <v>6874</v>
      </c>
      <c r="O474" s="486">
        <v>76958</v>
      </c>
      <c r="P474" s="486">
        <v>72</v>
      </c>
      <c r="Q474" s="486">
        <v>0</v>
      </c>
      <c r="R474" s="485"/>
      <c r="S474" s="486"/>
      <c r="T474" s="483">
        <f t="shared" si="35"/>
        <v>81828</v>
      </c>
      <c r="U474" s="484">
        <f t="shared" si="36"/>
        <v>68614</v>
      </c>
      <c r="V474" s="485">
        <v>14047</v>
      </c>
      <c r="W474" s="486">
        <v>12117</v>
      </c>
      <c r="X474" s="485">
        <v>6170</v>
      </c>
      <c r="Y474" s="486">
        <v>4721</v>
      </c>
      <c r="Z474" s="485">
        <v>61383</v>
      </c>
      <c r="AA474" s="485">
        <v>228</v>
      </c>
      <c r="AB474" s="485">
        <v>0</v>
      </c>
      <c r="AC474" s="486">
        <v>51713</v>
      </c>
      <c r="AD474" s="486">
        <v>63</v>
      </c>
      <c r="AE474" s="486">
        <v>0</v>
      </c>
      <c r="AF474" s="485"/>
      <c r="AG474" s="486"/>
    </row>
    <row r="475" spans="1:33" s="28" customFormat="1" ht="15" customHeight="1">
      <c r="A475" s="117" t="s">
        <v>523</v>
      </c>
      <c r="B475" s="146" t="s">
        <v>544</v>
      </c>
      <c r="C475" s="147"/>
      <c r="D475" s="74">
        <v>224147</v>
      </c>
      <c r="E475" s="74">
        <v>3</v>
      </c>
      <c r="F475" s="483">
        <f t="shared" si="33"/>
        <v>241433</v>
      </c>
      <c r="G475" s="484">
        <f t="shared" si="34"/>
        <v>249121</v>
      </c>
      <c r="H475" s="485">
        <v>211941</v>
      </c>
      <c r="I475" s="486">
        <v>216066</v>
      </c>
      <c r="J475" s="485">
        <v>0</v>
      </c>
      <c r="K475" s="486">
        <v>0</v>
      </c>
      <c r="L475" s="485">
        <v>29457</v>
      </c>
      <c r="M475" s="485">
        <v>35</v>
      </c>
      <c r="N475" s="485">
        <v>0</v>
      </c>
      <c r="O475" s="486">
        <v>33008</v>
      </c>
      <c r="P475" s="486">
        <v>47</v>
      </c>
      <c r="Q475" s="486">
        <v>0</v>
      </c>
      <c r="R475" s="485"/>
      <c r="S475" s="486"/>
      <c r="T475" s="483">
        <f t="shared" si="35"/>
        <v>35287</v>
      </c>
      <c r="U475" s="484">
        <f t="shared" si="36"/>
        <v>36482</v>
      </c>
      <c r="V475" s="485">
        <v>13746</v>
      </c>
      <c r="W475" s="486">
        <v>12252</v>
      </c>
      <c r="X475" s="485">
        <v>0</v>
      </c>
      <c r="Y475" s="486">
        <v>0</v>
      </c>
      <c r="Z475" s="485">
        <v>21538</v>
      </c>
      <c r="AA475" s="485">
        <v>3</v>
      </c>
      <c r="AB475" s="485">
        <v>0</v>
      </c>
      <c r="AC475" s="486">
        <v>24224</v>
      </c>
      <c r="AD475" s="486">
        <v>6</v>
      </c>
      <c r="AE475" s="486">
        <v>0</v>
      </c>
      <c r="AF475" s="485"/>
      <c r="AG475" s="486"/>
    </row>
    <row r="476" spans="1:33" s="28" customFormat="1" ht="15" customHeight="1">
      <c r="A476" s="117" t="s">
        <v>523</v>
      </c>
      <c r="B476" s="146" t="s">
        <v>545</v>
      </c>
      <c r="C476" s="147"/>
      <c r="D476" s="74">
        <v>228705</v>
      </c>
      <c r="E476" s="74">
        <v>3</v>
      </c>
      <c r="F476" s="483">
        <f t="shared" si="33"/>
        <v>163193</v>
      </c>
      <c r="G476" s="484">
        <f t="shared" si="34"/>
        <v>165781</v>
      </c>
      <c r="H476" s="485">
        <v>138207</v>
      </c>
      <c r="I476" s="486">
        <v>135168</v>
      </c>
      <c r="J476" s="485">
        <v>10113</v>
      </c>
      <c r="K476" s="486">
        <v>11274</v>
      </c>
      <c r="L476" s="485">
        <v>14211</v>
      </c>
      <c r="M476" s="485">
        <v>653</v>
      </c>
      <c r="N476" s="485">
        <v>9</v>
      </c>
      <c r="O476" s="486">
        <v>16887</v>
      </c>
      <c r="P476" s="486">
        <v>2452</v>
      </c>
      <c r="Q476" s="486">
        <v>0</v>
      </c>
      <c r="R476" s="485"/>
      <c r="S476" s="486"/>
      <c r="T476" s="483">
        <f t="shared" si="35"/>
        <v>39100</v>
      </c>
      <c r="U476" s="484">
        <f t="shared" si="36"/>
        <v>29780</v>
      </c>
      <c r="V476" s="485">
        <v>29295</v>
      </c>
      <c r="W476" s="486">
        <v>20137</v>
      </c>
      <c r="X476" s="485">
        <v>3</v>
      </c>
      <c r="Y476" s="486">
        <v>111</v>
      </c>
      <c r="Z476" s="485">
        <v>9484</v>
      </c>
      <c r="AA476" s="485">
        <v>318</v>
      </c>
      <c r="AB476" s="485">
        <v>0</v>
      </c>
      <c r="AC476" s="486">
        <v>9046</v>
      </c>
      <c r="AD476" s="486">
        <v>486</v>
      </c>
      <c r="AE476" s="486">
        <v>0</v>
      </c>
      <c r="AF476" s="485"/>
      <c r="AG476" s="486"/>
    </row>
    <row r="477" spans="1:33" s="28" customFormat="1" ht="15" customHeight="1">
      <c r="A477" s="117" t="s">
        <v>523</v>
      </c>
      <c r="B477" s="72" t="s">
        <v>546</v>
      </c>
      <c r="C477" s="147"/>
      <c r="D477" s="74">
        <v>229063</v>
      </c>
      <c r="E477" s="74">
        <v>3</v>
      </c>
      <c r="F477" s="483">
        <f t="shared" si="33"/>
        <v>200044</v>
      </c>
      <c r="G477" s="484">
        <f t="shared" si="34"/>
        <v>203462</v>
      </c>
      <c r="H477" s="485">
        <v>180873</v>
      </c>
      <c r="I477" s="486">
        <v>177956</v>
      </c>
      <c r="J477" s="485">
        <v>0</v>
      </c>
      <c r="K477" s="486">
        <v>0</v>
      </c>
      <c r="L477" s="485">
        <v>0</v>
      </c>
      <c r="M477" s="485">
        <v>0</v>
      </c>
      <c r="N477" s="485">
        <v>19171</v>
      </c>
      <c r="O477" s="486">
        <v>0</v>
      </c>
      <c r="P477" s="486">
        <v>0</v>
      </c>
      <c r="Q477" s="486">
        <v>25506</v>
      </c>
      <c r="R477" s="485"/>
      <c r="S477" s="486"/>
      <c r="T477" s="483">
        <f t="shared" si="35"/>
        <v>53428</v>
      </c>
      <c r="U477" s="484">
        <f t="shared" si="36"/>
        <v>51082</v>
      </c>
      <c r="V477" s="485">
        <v>45056</v>
      </c>
      <c r="W477" s="486">
        <v>43618</v>
      </c>
      <c r="X477" s="485">
        <v>12</v>
      </c>
      <c r="Y477" s="486">
        <v>0</v>
      </c>
      <c r="Z477" s="485">
        <v>0</v>
      </c>
      <c r="AA477" s="485">
        <v>0</v>
      </c>
      <c r="AB477" s="485">
        <v>8360</v>
      </c>
      <c r="AC477" s="486">
        <v>0</v>
      </c>
      <c r="AD477" s="486">
        <v>0</v>
      </c>
      <c r="AE477" s="486">
        <v>7464</v>
      </c>
      <c r="AF477" s="485"/>
      <c r="AG477" s="486"/>
    </row>
    <row r="478" spans="1:33" s="28" customFormat="1" ht="15" customHeight="1">
      <c r="A478" s="117" t="s">
        <v>523</v>
      </c>
      <c r="B478" s="72" t="s">
        <v>548</v>
      </c>
      <c r="C478" s="147"/>
      <c r="D478" s="74">
        <v>225414</v>
      </c>
      <c r="E478" s="74">
        <v>3</v>
      </c>
      <c r="F478" s="483">
        <f t="shared" si="33"/>
        <v>129026</v>
      </c>
      <c r="G478" s="484">
        <f t="shared" si="34"/>
        <v>135267</v>
      </c>
      <c r="H478" s="485">
        <v>92447</v>
      </c>
      <c r="I478" s="486">
        <v>97753</v>
      </c>
      <c r="J478" s="485">
        <v>7845</v>
      </c>
      <c r="K478" s="486">
        <v>7637</v>
      </c>
      <c r="L478" s="485">
        <v>28734</v>
      </c>
      <c r="M478" s="485">
        <v>0</v>
      </c>
      <c r="N478" s="485">
        <v>0</v>
      </c>
      <c r="O478" s="486">
        <v>29877</v>
      </c>
      <c r="P478" s="486">
        <v>0</v>
      </c>
      <c r="Q478" s="486">
        <v>0</v>
      </c>
      <c r="R478" s="485"/>
      <c r="S478" s="486"/>
      <c r="T478" s="483">
        <f t="shared" si="35"/>
        <v>42680</v>
      </c>
      <c r="U478" s="484">
        <f t="shared" si="36"/>
        <v>40726</v>
      </c>
      <c r="V478" s="485">
        <v>27217</v>
      </c>
      <c r="W478" s="486">
        <v>22992</v>
      </c>
      <c r="X478" s="485">
        <v>3065</v>
      </c>
      <c r="Y478" s="486">
        <v>3564</v>
      </c>
      <c r="Z478" s="485">
        <v>12398</v>
      </c>
      <c r="AA478" s="485">
        <v>0</v>
      </c>
      <c r="AB478" s="485">
        <v>0</v>
      </c>
      <c r="AC478" s="486">
        <v>14170</v>
      </c>
      <c r="AD478" s="486">
        <v>0</v>
      </c>
      <c r="AE478" s="486">
        <v>0</v>
      </c>
      <c r="AF478" s="485"/>
      <c r="AG478" s="486"/>
    </row>
    <row r="479" spans="1:33" s="28" customFormat="1" ht="15" customHeight="1">
      <c r="A479" s="117" t="s">
        <v>523</v>
      </c>
      <c r="B479" s="149" t="s">
        <v>549</v>
      </c>
      <c r="C479" s="147"/>
      <c r="D479" s="74">
        <v>227368</v>
      </c>
      <c r="E479" s="74">
        <v>3</v>
      </c>
      <c r="F479" s="483">
        <f t="shared" si="33"/>
        <v>636779</v>
      </c>
      <c r="G479" s="484">
        <f t="shared" si="34"/>
        <v>656599</v>
      </c>
      <c r="H479" s="485">
        <v>464072</v>
      </c>
      <c r="I479" s="486">
        <v>444944</v>
      </c>
      <c r="J479" s="485">
        <v>1598</v>
      </c>
      <c r="K479" s="486">
        <v>3022</v>
      </c>
      <c r="L479" s="485">
        <v>150157</v>
      </c>
      <c r="M479" s="485">
        <v>20952</v>
      </c>
      <c r="N479" s="485">
        <v>0</v>
      </c>
      <c r="O479" s="486">
        <v>183288</v>
      </c>
      <c r="P479" s="486">
        <v>25345</v>
      </c>
      <c r="Q479" s="486">
        <v>0</v>
      </c>
      <c r="R479" s="485"/>
      <c r="S479" s="486"/>
      <c r="T479" s="483">
        <f t="shared" si="35"/>
        <v>59039</v>
      </c>
      <c r="U479" s="484">
        <f t="shared" si="36"/>
        <v>61889</v>
      </c>
      <c r="V479" s="485">
        <v>24359</v>
      </c>
      <c r="W479" s="486">
        <v>26290</v>
      </c>
      <c r="X479" s="485">
        <v>1602</v>
      </c>
      <c r="Y479" s="486">
        <v>1465</v>
      </c>
      <c r="Z479" s="485">
        <v>29940</v>
      </c>
      <c r="AA479" s="485">
        <v>3138</v>
      </c>
      <c r="AB479" s="485">
        <v>0</v>
      </c>
      <c r="AC479" s="486">
        <v>30080</v>
      </c>
      <c r="AD479" s="486">
        <v>4054</v>
      </c>
      <c r="AE479" s="486">
        <v>0</v>
      </c>
      <c r="AF479" s="485"/>
      <c r="AG479" s="486"/>
    </row>
    <row r="480" spans="1:33" s="28" customFormat="1" ht="15" customHeight="1">
      <c r="A480" s="117" t="s">
        <v>523</v>
      </c>
      <c r="B480" s="72" t="s">
        <v>550</v>
      </c>
      <c r="C480" s="147"/>
      <c r="D480" s="74">
        <v>228802</v>
      </c>
      <c r="E480" s="74">
        <v>3</v>
      </c>
      <c r="F480" s="483">
        <f t="shared" ref="F480:F543" si="37">SUM(H480,J480,L480,M480,N480,R480)</f>
        <v>168423</v>
      </c>
      <c r="G480" s="484">
        <f t="shared" ref="G480:G543" si="38">SUM(I480,K480,O480,P480,Q480,S480)</f>
        <v>168942</v>
      </c>
      <c r="H480" s="485">
        <v>94792</v>
      </c>
      <c r="I480" s="486">
        <v>89240</v>
      </c>
      <c r="J480" s="485">
        <v>12982</v>
      </c>
      <c r="K480" s="486">
        <v>11184</v>
      </c>
      <c r="L480" s="485">
        <v>60184</v>
      </c>
      <c r="M480" s="485">
        <v>465</v>
      </c>
      <c r="N480" s="485">
        <v>0</v>
      </c>
      <c r="O480" s="486">
        <v>68026</v>
      </c>
      <c r="P480" s="486">
        <v>492</v>
      </c>
      <c r="Q480" s="486">
        <v>0</v>
      </c>
      <c r="R480" s="485"/>
      <c r="S480" s="486"/>
      <c r="T480" s="483">
        <f t="shared" ref="T480:T508" si="39">SUM(V480,X480,Z480,AA480,AB480,AF480)</f>
        <v>42879</v>
      </c>
      <c r="U480" s="484">
        <f t="shared" si="36"/>
        <v>43141</v>
      </c>
      <c r="V480" s="485">
        <v>7126</v>
      </c>
      <c r="W480" s="486">
        <v>6665</v>
      </c>
      <c r="X480" s="485">
        <v>36</v>
      </c>
      <c r="Y480" s="486">
        <v>57</v>
      </c>
      <c r="Z480" s="485">
        <v>35639</v>
      </c>
      <c r="AA480" s="485">
        <v>78</v>
      </c>
      <c r="AB480" s="485">
        <v>0</v>
      </c>
      <c r="AC480" s="486">
        <v>36320</v>
      </c>
      <c r="AD480" s="486">
        <v>99</v>
      </c>
      <c r="AE480" s="486">
        <v>0</v>
      </c>
      <c r="AF480" s="485"/>
      <c r="AG480" s="486"/>
    </row>
    <row r="481" spans="1:33" s="28" customFormat="1" ht="15" customHeight="1">
      <c r="A481" s="71" t="s">
        <v>523</v>
      </c>
      <c r="B481" s="72" t="s">
        <v>551</v>
      </c>
      <c r="C481" s="147"/>
      <c r="D481" s="74">
        <v>229018</v>
      </c>
      <c r="E481" s="74">
        <v>3</v>
      </c>
      <c r="F481" s="483">
        <f t="shared" si="37"/>
        <v>119104</v>
      </c>
      <c r="G481" s="484">
        <f t="shared" si="38"/>
        <v>107376</v>
      </c>
      <c r="H481" s="485">
        <v>57275</v>
      </c>
      <c r="I481" s="486">
        <v>52710</v>
      </c>
      <c r="J481" s="485">
        <v>53</v>
      </c>
      <c r="K481" s="486">
        <v>68</v>
      </c>
      <c r="L481" s="485">
        <v>61776</v>
      </c>
      <c r="M481" s="485">
        <v>0</v>
      </c>
      <c r="N481" s="485">
        <v>0</v>
      </c>
      <c r="O481" s="486">
        <v>54598</v>
      </c>
      <c r="P481" s="486">
        <v>0</v>
      </c>
      <c r="Q481" s="486">
        <v>0</v>
      </c>
      <c r="R481" s="485"/>
      <c r="S481" s="486"/>
      <c r="T481" s="483">
        <f t="shared" si="39"/>
        <v>11832</v>
      </c>
      <c r="U481" s="484">
        <f t="shared" si="36"/>
        <v>15481</v>
      </c>
      <c r="V481" s="485">
        <v>2289</v>
      </c>
      <c r="W481" s="486">
        <v>2121</v>
      </c>
      <c r="X481" s="485">
        <v>0</v>
      </c>
      <c r="Y481" s="486">
        <v>0</v>
      </c>
      <c r="Z481" s="485">
        <v>9543</v>
      </c>
      <c r="AA481" s="485">
        <v>0</v>
      </c>
      <c r="AB481" s="485">
        <v>0</v>
      </c>
      <c r="AC481" s="486">
        <v>13360</v>
      </c>
      <c r="AD481" s="486">
        <v>0</v>
      </c>
      <c r="AE481" s="486">
        <v>0</v>
      </c>
      <c r="AF481" s="485"/>
      <c r="AG481" s="486"/>
    </row>
    <row r="482" spans="1:33" s="28" customFormat="1" ht="15" customHeight="1">
      <c r="A482" s="117" t="s">
        <v>523</v>
      </c>
      <c r="B482" s="146" t="s">
        <v>552</v>
      </c>
      <c r="C482" s="147"/>
      <c r="D482" s="74">
        <v>229814</v>
      </c>
      <c r="E482" s="74">
        <v>3</v>
      </c>
      <c r="F482" s="483">
        <f t="shared" si="37"/>
        <v>188023</v>
      </c>
      <c r="G482" s="484">
        <f t="shared" si="38"/>
        <v>187392</v>
      </c>
      <c r="H482" s="485">
        <v>141050</v>
      </c>
      <c r="I482" s="486">
        <v>136150</v>
      </c>
      <c r="J482" s="485">
        <v>0</v>
      </c>
      <c r="K482" s="486">
        <v>78</v>
      </c>
      <c r="L482" s="485">
        <v>46973</v>
      </c>
      <c r="M482" s="485">
        <v>0</v>
      </c>
      <c r="N482" s="485">
        <v>0</v>
      </c>
      <c r="O482" s="486">
        <v>51164</v>
      </c>
      <c r="P482" s="486">
        <v>0</v>
      </c>
      <c r="Q482" s="486">
        <v>0</v>
      </c>
      <c r="R482" s="485"/>
      <c r="S482" s="486"/>
      <c r="T482" s="483">
        <f t="shared" si="39"/>
        <v>39347</v>
      </c>
      <c r="U482" s="484">
        <f t="shared" si="36"/>
        <v>39044</v>
      </c>
      <c r="V482" s="485">
        <v>7955</v>
      </c>
      <c r="W482" s="486">
        <v>7324</v>
      </c>
      <c r="X482" s="485">
        <v>0</v>
      </c>
      <c r="Y482" s="486">
        <v>0</v>
      </c>
      <c r="Z482" s="485">
        <v>31392</v>
      </c>
      <c r="AA482" s="485">
        <v>0</v>
      </c>
      <c r="AB482" s="485">
        <v>0</v>
      </c>
      <c r="AC482" s="486">
        <v>31720</v>
      </c>
      <c r="AD482" s="486">
        <v>0</v>
      </c>
      <c r="AE482" s="486">
        <v>0</v>
      </c>
      <c r="AF482" s="485"/>
      <c r="AG482" s="486"/>
    </row>
    <row r="483" spans="1:33" s="28" customFormat="1" ht="15" customHeight="1">
      <c r="A483" s="117" t="s">
        <v>523</v>
      </c>
      <c r="B483" s="146" t="s">
        <v>553</v>
      </c>
      <c r="C483" s="147"/>
      <c r="D483" s="74">
        <v>483036</v>
      </c>
      <c r="E483" s="74">
        <v>4</v>
      </c>
      <c r="F483" s="483">
        <f t="shared" si="37"/>
        <v>40017</v>
      </c>
      <c r="G483" s="484">
        <f t="shared" si="38"/>
        <v>42121</v>
      </c>
      <c r="H483" s="485">
        <v>21435</v>
      </c>
      <c r="I483" s="486">
        <v>20909</v>
      </c>
      <c r="J483" s="485">
        <v>1788</v>
      </c>
      <c r="K483" s="486">
        <v>1026</v>
      </c>
      <c r="L483" s="485">
        <v>16710</v>
      </c>
      <c r="M483" s="485">
        <v>84</v>
      </c>
      <c r="N483" s="485">
        <v>0</v>
      </c>
      <c r="O483" s="486">
        <v>19700</v>
      </c>
      <c r="P483" s="486">
        <v>486</v>
      </c>
      <c r="Q483" s="486">
        <v>0</v>
      </c>
      <c r="R483" s="485"/>
      <c r="S483" s="486"/>
      <c r="T483" s="483">
        <f t="shared" ref="T483:T546" si="40">SUM(V483,X482,Z483,AA483,AB483,AF483)</f>
        <v>5544</v>
      </c>
      <c r="U483" s="484">
        <f t="shared" si="36"/>
        <v>5732</v>
      </c>
      <c r="V483" s="485">
        <v>1419</v>
      </c>
      <c r="W483" s="486">
        <v>791</v>
      </c>
      <c r="X483" s="485">
        <v>474</v>
      </c>
      <c r="Y483" s="486">
        <v>150</v>
      </c>
      <c r="Z483" s="485">
        <v>4125</v>
      </c>
      <c r="AA483" s="485">
        <v>0</v>
      </c>
      <c r="AB483" s="485">
        <v>0</v>
      </c>
      <c r="AC483" s="486">
        <v>4791</v>
      </c>
      <c r="AD483" s="486">
        <v>0</v>
      </c>
      <c r="AE483" s="486">
        <v>0</v>
      </c>
      <c r="AF483" s="485"/>
      <c r="AG483" s="486"/>
    </row>
    <row r="484" spans="1:33" s="28" customFormat="1" ht="15" customHeight="1">
      <c r="A484" s="117" t="s">
        <v>523</v>
      </c>
      <c r="B484" s="146" t="s">
        <v>554</v>
      </c>
      <c r="C484" s="147" t="s">
        <v>933</v>
      </c>
      <c r="D484" s="74">
        <v>224545</v>
      </c>
      <c r="E484" s="74">
        <v>4</v>
      </c>
      <c r="F484" s="483">
        <f t="shared" si="37"/>
        <v>41186</v>
      </c>
      <c r="G484" s="484">
        <f t="shared" si="38"/>
        <v>38905</v>
      </c>
      <c r="H484" s="485">
        <v>19937</v>
      </c>
      <c r="I484" s="486">
        <v>19287</v>
      </c>
      <c r="J484" s="485">
        <v>2482</v>
      </c>
      <c r="K484" s="486">
        <v>963</v>
      </c>
      <c r="L484" s="485">
        <v>18665</v>
      </c>
      <c r="M484" s="485">
        <v>102</v>
      </c>
      <c r="N484" s="485">
        <v>0</v>
      </c>
      <c r="O484" s="486">
        <v>18655</v>
      </c>
      <c r="P484" s="486">
        <v>0</v>
      </c>
      <c r="Q484" s="486">
        <v>0</v>
      </c>
      <c r="R484" s="485"/>
      <c r="S484" s="486"/>
      <c r="T484" s="483">
        <f t="shared" si="40"/>
        <v>10728</v>
      </c>
      <c r="U484" s="484">
        <f t="shared" si="36"/>
        <v>8792</v>
      </c>
      <c r="V484" s="485">
        <v>5382</v>
      </c>
      <c r="W484" s="486">
        <v>4325</v>
      </c>
      <c r="X484" s="485">
        <v>105</v>
      </c>
      <c r="Y484" s="486">
        <v>96</v>
      </c>
      <c r="Z484" s="485">
        <v>4872</v>
      </c>
      <c r="AA484" s="485">
        <v>0</v>
      </c>
      <c r="AB484" s="485">
        <v>0</v>
      </c>
      <c r="AC484" s="486">
        <v>4359</v>
      </c>
      <c r="AD484" s="486">
        <v>12</v>
      </c>
      <c r="AE484" s="486">
        <v>0</v>
      </c>
      <c r="AF484" s="485"/>
      <c r="AG484" s="486"/>
    </row>
    <row r="485" spans="1:33" s="28" customFormat="1" ht="15" customHeight="1">
      <c r="A485" s="117" t="s">
        <v>523</v>
      </c>
      <c r="B485" s="72" t="s">
        <v>555</v>
      </c>
      <c r="C485" s="147"/>
      <c r="D485" s="74">
        <v>225502</v>
      </c>
      <c r="E485" s="74">
        <v>4</v>
      </c>
      <c r="F485" s="483">
        <f t="shared" si="37"/>
        <v>68024</v>
      </c>
      <c r="G485" s="484">
        <f t="shared" si="38"/>
        <v>71499</v>
      </c>
      <c r="H485" s="485">
        <v>22227</v>
      </c>
      <c r="I485" s="486">
        <v>23699</v>
      </c>
      <c r="J485" s="485">
        <v>4306</v>
      </c>
      <c r="K485" s="486">
        <v>4160</v>
      </c>
      <c r="L485" s="485">
        <v>38197</v>
      </c>
      <c r="M485" s="485">
        <v>3294</v>
      </c>
      <c r="N485" s="485">
        <v>0</v>
      </c>
      <c r="O485" s="486">
        <v>40919</v>
      </c>
      <c r="P485" s="486">
        <v>2721</v>
      </c>
      <c r="Q485" s="486">
        <v>0</v>
      </c>
      <c r="R485" s="485"/>
      <c r="S485" s="486"/>
      <c r="T485" s="483">
        <f t="shared" si="40"/>
        <v>16278</v>
      </c>
      <c r="U485" s="484">
        <f t="shared" si="36"/>
        <v>17312</v>
      </c>
      <c r="V485" s="485">
        <v>423</v>
      </c>
      <c r="W485" s="486">
        <v>318</v>
      </c>
      <c r="X485" s="485">
        <v>1680</v>
      </c>
      <c r="Y485" s="486">
        <v>1428</v>
      </c>
      <c r="Z485" s="485">
        <v>15060</v>
      </c>
      <c r="AA485" s="485">
        <v>690</v>
      </c>
      <c r="AB485" s="485">
        <v>0</v>
      </c>
      <c r="AC485" s="486">
        <v>14426</v>
      </c>
      <c r="AD485" s="486">
        <v>1140</v>
      </c>
      <c r="AE485" s="486">
        <v>0</v>
      </c>
      <c r="AF485" s="485"/>
      <c r="AG485" s="486"/>
    </row>
    <row r="486" spans="1:33" s="28" customFormat="1" ht="15" customHeight="1">
      <c r="A486" s="117" t="s">
        <v>523</v>
      </c>
      <c r="B486" s="72" t="s">
        <v>556</v>
      </c>
      <c r="C486" s="147"/>
      <c r="D486" s="74" t="s">
        <v>557</v>
      </c>
      <c r="E486" s="74">
        <v>5</v>
      </c>
      <c r="F486" s="483">
        <f t="shared" si="37"/>
        <v>15669</v>
      </c>
      <c r="G486" s="484">
        <f t="shared" si="38"/>
        <v>13906</v>
      </c>
      <c r="H486" s="485">
        <v>2823</v>
      </c>
      <c r="I486" s="486">
        <v>3250</v>
      </c>
      <c r="J486" s="485">
        <v>0</v>
      </c>
      <c r="K486" s="486">
        <v>0</v>
      </c>
      <c r="L486" s="485">
        <v>7533</v>
      </c>
      <c r="M486" s="485">
        <v>5313</v>
      </c>
      <c r="N486" s="485">
        <v>0</v>
      </c>
      <c r="O486" s="486">
        <v>6606</v>
      </c>
      <c r="P486" s="486">
        <v>4050</v>
      </c>
      <c r="Q486" s="486">
        <v>0</v>
      </c>
      <c r="R486" s="485"/>
      <c r="S486" s="486"/>
      <c r="T486" s="483">
        <f t="shared" si="40"/>
        <v>3975</v>
      </c>
      <c r="U486" s="484">
        <f t="shared" si="36"/>
        <v>1965</v>
      </c>
      <c r="V486" s="485">
        <v>1026</v>
      </c>
      <c r="W486" s="486">
        <v>663</v>
      </c>
      <c r="X486" s="485">
        <v>0</v>
      </c>
      <c r="Y486" s="486">
        <v>0</v>
      </c>
      <c r="Z486" s="485">
        <v>1113</v>
      </c>
      <c r="AA486" s="485">
        <v>156</v>
      </c>
      <c r="AB486" s="485">
        <v>0</v>
      </c>
      <c r="AC486" s="486">
        <v>1101</v>
      </c>
      <c r="AD486" s="486">
        <v>201</v>
      </c>
      <c r="AE486" s="486">
        <v>0</v>
      </c>
      <c r="AF486" s="485"/>
      <c r="AG486" s="486"/>
    </row>
    <row r="487" spans="1:33" s="28" customFormat="1" ht="15" customHeight="1">
      <c r="A487" s="117" t="s">
        <v>523</v>
      </c>
      <c r="B487" s="146" t="s">
        <v>558</v>
      </c>
      <c r="C487" s="147" t="s">
        <v>935</v>
      </c>
      <c r="D487" s="74">
        <v>870501</v>
      </c>
      <c r="E487" s="74">
        <v>5</v>
      </c>
      <c r="F487" s="483">
        <f t="shared" si="37"/>
        <v>115358</v>
      </c>
      <c r="G487" s="484">
        <f t="shared" si="38"/>
        <v>128454</v>
      </c>
      <c r="H487" s="485">
        <v>74875</v>
      </c>
      <c r="I487" s="486">
        <v>86084</v>
      </c>
      <c r="J487" s="485">
        <v>2219</v>
      </c>
      <c r="K487" s="486">
        <v>1528</v>
      </c>
      <c r="L487" s="485">
        <v>32105</v>
      </c>
      <c r="M487" s="485">
        <v>0</v>
      </c>
      <c r="N487" s="485">
        <v>6159</v>
      </c>
      <c r="O487" s="486">
        <v>35466</v>
      </c>
      <c r="P487" s="486">
        <v>0</v>
      </c>
      <c r="Q487" s="486">
        <v>5376</v>
      </c>
      <c r="R487" s="485"/>
      <c r="S487" s="486"/>
      <c r="T487" s="483">
        <f t="shared" si="40"/>
        <v>15004</v>
      </c>
      <c r="U487" s="484">
        <f t="shared" si="36"/>
        <v>14609</v>
      </c>
      <c r="V487" s="485">
        <v>5961</v>
      </c>
      <c r="W487" s="486">
        <v>3282</v>
      </c>
      <c r="X487" s="485">
        <v>132</v>
      </c>
      <c r="Y487" s="486">
        <v>84</v>
      </c>
      <c r="Z487" s="485">
        <v>6529</v>
      </c>
      <c r="AA487" s="485">
        <v>0</v>
      </c>
      <c r="AB487" s="485">
        <v>2514</v>
      </c>
      <c r="AC487" s="486">
        <v>6794</v>
      </c>
      <c r="AD487" s="486">
        <v>0</v>
      </c>
      <c r="AE487" s="486">
        <v>4449</v>
      </c>
      <c r="AF487" s="485"/>
      <c r="AG487" s="486"/>
    </row>
    <row r="488" spans="1:33" s="28" customFormat="1" ht="15" customHeight="1">
      <c r="A488" s="117" t="s">
        <v>523</v>
      </c>
      <c r="B488" s="146" t="s">
        <v>560</v>
      </c>
      <c r="C488" s="118"/>
      <c r="D488" s="74">
        <v>228714</v>
      </c>
      <c r="E488" s="74">
        <v>5</v>
      </c>
      <c r="F488" s="483">
        <f t="shared" si="37"/>
        <v>63002</v>
      </c>
      <c r="G488" s="484">
        <f t="shared" si="38"/>
        <v>58207</v>
      </c>
      <c r="H488" s="485">
        <v>52487</v>
      </c>
      <c r="I488" s="486">
        <v>44643</v>
      </c>
      <c r="J488" s="485">
        <v>8218</v>
      </c>
      <c r="K488" s="486">
        <v>10448</v>
      </c>
      <c r="L488" s="485">
        <v>2265</v>
      </c>
      <c r="M488" s="485">
        <v>0</v>
      </c>
      <c r="N488" s="485">
        <v>32</v>
      </c>
      <c r="O488" s="486">
        <v>3112</v>
      </c>
      <c r="P488" s="486">
        <v>0</v>
      </c>
      <c r="Q488" s="486">
        <v>4</v>
      </c>
      <c r="R488" s="485"/>
      <c r="S488" s="486"/>
      <c r="T488" s="483">
        <f t="shared" si="40"/>
        <v>2591</v>
      </c>
      <c r="U488" s="484">
        <f t="shared" si="36"/>
        <v>2426</v>
      </c>
      <c r="V488" s="485">
        <v>1772</v>
      </c>
      <c r="W488" s="486">
        <v>1661</v>
      </c>
      <c r="X488" s="485">
        <v>92</v>
      </c>
      <c r="Y488" s="486">
        <v>96</v>
      </c>
      <c r="Z488" s="485">
        <v>687</v>
      </c>
      <c r="AA488" s="485">
        <v>0</v>
      </c>
      <c r="AB488" s="485">
        <v>0</v>
      </c>
      <c r="AC488" s="486">
        <v>669</v>
      </c>
      <c r="AD488" s="486">
        <v>0</v>
      </c>
      <c r="AE488" s="486">
        <v>0</v>
      </c>
      <c r="AF488" s="485"/>
      <c r="AG488" s="486"/>
    </row>
    <row r="489" spans="1:33" s="28" customFormat="1" ht="15" customHeight="1">
      <c r="A489" s="117" t="s">
        <v>523</v>
      </c>
      <c r="B489" s="72" t="s">
        <v>559</v>
      </c>
      <c r="C489" s="147" t="s">
        <v>947</v>
      </c>
      <c r="D489" s="74">
        <v>225432</v>
      </c>
      <c r="E489" s="74">
        <v>5</v>
      </c>
      <c r="F489" s="483">
        <f t="shared" si="37"/>
        <v>253072</v>
      </c>
      <c r="G489" s="484">
        <f t="shared" si="38"/>
        <v>256077</v>
      </c>
      <c r="H489" s="485">
        <v>131754</v>
      </c>
      <c r="I489" s="486">
        <v>121898</v>
      </c>
      <c r="J489" s="485">
        <v>7752</v>
      </c>
      <c r="K489" s="486">
        <v>7740</v>
      </c>
      <c r="L489" s="485">
        <v>113566</v>
      </c>
      <c r="M489" s="485">
        <v>0</v>
      </c>
      <c r="N489" s="485">
        <v>0</v>
      </c>
      <c r="O489" s="486">
        <v>126439</v>
      </c>
      <c r="P489" s="486">
        <v>0</v>
      </c>
      <c r="Q489" s="486">
        <v>0</v>
      </c>
      <c r="R489" s="485"/>
      <c r="S489" s="486"/>
      <c r="T489" s="483">
        <f t="shared" si="40"/>
        <v>27988</v>
      </c>
      <c r="U489" s="484">
        <f t="shared" si="36"/>
        <v>28227</v>
      </c>
      <c r="V489" s="485">
        <v>2624</v>
      </c>
      <c r="W489" s="486">
        <v>2700</v>
      </c>
      <c r="X489" s="485">
        <v>0</v>
      </c>
      <c r="Y489" s="486">
        <v>21</v>
      </c>
      <c r="Z489" s="485">
        <v>25272</v>
      </c>
      <c r="AA489" s="485">
        <v>0</v>
      </c>
      <c r="AB489" s="485">
        <v>0</v>
      </c>
      <c r="AC489" s="486">
        <v>25506</v>
      </c>
      <c r="AD489" s="486">
        <v>0</v>
      </c>
      <c r="AE489" s="486">
        <v>0</v>
      </c>
      <c r="AF489" s="485"/>
      <c r="AG489" s="486"/>
    </row>
    <row r="490" spans="1:33" s="28" customFormat="1" ht="15" customHeight="1">
      <c r="A490" s="117" t="s">
        <v>523</v>
      </c>
      <c r="B490" s="150" t="s">
        <v>561</v>
      </c>
      <c r="C490" s="147"/>
      <c r="D490" s="74">
        <v>223506</v>
      </c>
      <c r="E490" s="74">
        <v>7</v>
      </c>
      <c r="F490" s="483">
        <f t="shared" si="37"/>
        <v>75644</v>
      </c>
      <c r="G490" s="484">
        <f t="shared" si="38"/>
        <v>75669</v>
      </c>
      <c r="H490" s="485">
        <v>51398</v>
      </c>
      <c r="I490" s="486">
        <v>53733</v>
      </c>
      <c r="J490" s="485">
        <v>4888</v>
      </c>
      <c r="K490" s="486">
        <v>4357</v>
      </c>
      <c r="L490" s="485">
        <v>19358</v>
      </c>
      <c r="M490" s="485">
        <v>0</v>
      </c>
      <c r="N490" s="485">
        <v>0</v>
      </c>
      <c r="O490" s="486">
        <v>17579</v>
      </c>
      <c r="P490" s="486">
        <v>0</v>
      </c>
      <c r="Q490" s="486">
        <v>0</v>
      </c>
      <c r="R490" s="485"/>
      <c r="S490" s="486"/>
      <c r="T490" s="483">
        <f t="shared" si="40"/>
        <v>0</v>
      </c>
      <c r="U490" s="484">
        <f t="shared" si="36"/>
        <v>0</v>
      </c>
      <c r="V490" s="485">
        <v>0</v>
      </c>
      <c r="W490" s="486">
        <v>0</v>
      </c>
      <c r="X490" s="485">
        <v>0</v>
      </c>
      <c r="Y490" s="486">
        <v>0</v>
      </c>
      <c r="Z490" s="485">
        <v>0</v>
      </c>
      <c r="AA490" s="485">
        <v>0</v>
      </c>
      <c r="AB490" s="485">
        <v>0</v>
      </c>
      <c r="AC490" s="486">
        <v>0</v>
      </c>
      <c r="AD490" s="486">
        <v>0</v>
      </c>
      <c r="AE490" s="486">
        <v>0</v>
      </c>
      <c r="AF490" s="485"/>
      <c r="AG490" s="486"/>
    </row>
    <row r="491" spans="1:33" s="28" customFormat="1" ht="15" customHeight="1">
      <c r="A491" s="117" t="s">
        <v>523</v>
      </c>
      <c r="B491" s="150" t="s">
        <v>562</v>
      </c>
      <c r="C491" s="147"/>
      <c r="D491" s="74">
        <v>226806</v>
      </c>
      <c r="E491" s="74">
        <v>7</v>
      </c>
      <c r="F491" s="483">
        <f t="shared" si="37"/>
        <v>110696</v>
      </c>
      <c r="G491" s="484">
        <f t="shared" si="38"/>
        <v>96518</v>
      </c>
      <c r="H491" s="485">
        <v>58662</v>
      </c>
      <c r="I491" s="486">
        <v>52445</v>
      </c>
      <c r="J491" s="485">
        <v>9666</v>
      </c>
      <c r="K491" s="486">
        <v>9245</v>
      </c>
      <c r="L491" s="485">
        <v>41859</v>
      </c>
      <c r="M491" s="485">
        <v>509</v>
      </c>
      <c r="N491" s="485">
        <v>0</v>
      </c>
      <c r="O491" s="486">
        <v>34227</v>
      </c>
      <c r="P491" s="486">
        <v>601</v>
      </c>
      <c r="Q491" s="486">
        <v>0</v>
      </c>
      <c r="R491" s="485"/>
      <c r="S491" s="486"/>
      <c r="T491" s="483">
        <f t="shared" si="40"/>
        <v>0</v>
      </c>
      <c r="U491" s="484">
        <f t="shared" si="36"/>
        <v>0</v>
      </c>
      <c r="V491" s="485">
        <v>0</v>
      </c>
      <c r="W491" s="486">
        <v>0</v>
      </c>
      <c r="X491" s="485">
        <v>0</v>
      </c>
      <c r="Y491" s="486">
        <v>0</v>
      </c>
      <c r="Z491" s="485">
        <v>0</v>
      </c>
      <c r="AA491" s="485">
        <v>0</v>
      </c>
      <c r="AB491" s="485">
        <v>0</v>
      </c>
      <c r="AC491" s="486">
        <v>0</v>
      </c>
      <c r="AD491" s="486">
        <v>0</v>
      </c>
      <c r="AE491" s="486">
        <v>0</v>
      </c>
      <c r="AF491" s="485"/>
      <c r="AG491" s="486"/>
    </row>
    <row r="492" spans="1:33" s="28" customFormat="1" ht="15" customHeight="1">
      <c r="A492" s="117" t="s">
        <v>523</v>
      </c>
      <c r="B492" s="150" t="s">
        <v>563</v>
      </c>
      <c r="C492" s="147"/>
      <c r="D492" s="74">
        <v>409315</v>
      </c>
      <c r="E492" s="151">
        <v>7</v>
      </c>
      <c r="F492" s="483">
        <f t="shared" si="37"/>
        <v>621531</v>
      </c>
      <c r="G492" s="484">
        <f t="shared" si="38"/>
        <v>630068</v>
      </c>
      <c r="H492" s="485">
        <v>485008</v>
      </c>
      <c r="I492" s="486">
        <v>477818</v>
      </c>
      <c r="J492" s="485">
        <v>0</v>
      </c>
      <c r="K492" s="486">
        <v>0</v>
      </c>
      <c r="L492" s="485">
        <v>128040</v>
      </c>
      <c r="M492" s="485">
        <v>0</v>
      </c>
      <c r="N492" s="485">
        <v>8483</v>
      </c>
      <c r="O492" s="486">
        <v>152250</v>
      </c>
      <c r="P492" s="486">
        <v>0</v>
      </c>
      <c r="Q492" s="486">
        <v>0</v>
      </c>
      <c r="R492" s="485"/>
      <c r="S492" s="486"/>
      <c r="T492" s="483">
        <f t="shared" si="40"/>
        <v>0</v>
      </c>
      <c r="U492" s="484">
        <f t="shared" si="36"/>
        <v>0</v>
      </c>
      <c r="V492" s="485">
        <v>0</v>
      </c>
      <c r="W492" s="486">
        <v>0</v>
      </c>
      <c r="X492" s="485">
        <v>0</v>
      </c>
      <c r="Y492" s="486">
        <v>0</v>
      </c>
      <c r="Z492" s="485">
        <v>0</v>
      </c>
      <c r="AA492" s="485">
        <v>0</v>
      </c>
      <c r="AB492" s="485">
        <v>0</v>
      </c>
      <c r="AC492" s="486">
        <v>0</v>
      </c>
      <c r="AD492" s="486">
        <v>0</v>
      </c>
      <c r="AE492" s="486">
        <v>0</v>
      </c>
      <c r="AF492" s="485"/>
      <c r="AG492" s="486"/>
    </row>
    <row r="493" spans="1:33" s="28" customFormat="1" ht="15" customHeight="1">
      <c r="A493" s="117" t="s">
        <v>523</v>
      </c>
      <c r="B493" s="72" t="s">
        <v>564</v>
      </c>
      <c r="C493" s="147"/>
      <c r="D493" s="74">
        <v>222576</v>
      </c>
      <c r="E493" s="74">
        <v>8</v>
      </c>
      <c r="F493" s="483">
        <f t="shared" si="37"/>
        <v>158515</v>
      </c>
      <c r="G493" s="484">
        <f t="shared" si="38"/>
        <v>209495</v>
      </c>
      <c r="H493" s="485">
        <v>83798</v>
      </c>
      <c r="I493" s="486">
        <v>96956</v>
      </c>
      <c r="J493" s="485">
        <v>7738</v>
      </c>
      <c r="K493" s="486">
        <v>14591</v>
      </c>
      <c r="L493" s="485">
        <v>66979</v>
      </c>
      <c r="M493" s="485">
        <v>0</v>
      </c>
      <c r="N493" s="485">
        <v>0</v>
      </c>
      <c r="O493" s="486">
        <v>97729</v>
      </c>
      <c r="P493" s="486">
        <v>219</v>
      </c>
      <c r="Q493" s="486">
        <v>0</v>
      </c>
      <c r="R493" s="485"/>
      <c r="S493" s="486"/>
      <c r="T493" s="483">
        <f t="shared" si="40"/>
        <v>0</v>
      </c>
      <c r="U493" s="484">
        <f t="shared" si="36"/>
        <v>0</v>
      </c>
      <c r="V493" s="485">
        <v>0</v>
      </c>
      <c r="W493" s="486">
        <v>0</v>
      </c>
      <c r="X493" s="485">
        <v>0</v>
      </c>
      <c r="Y493" s="486">
        <v>0</v>
      </c>
      <c r="Z493" s="485">
        <v>0</v>
      </c>
      <c r="AA493" s="485">
        <v>0</v>
      </c>
      <c r="AB493" s="485">
        <v>0</v>
      </c>
      <c r="AC493" s="486">
        <v>0</v>
      </c>
      <c r="AD493" s="486">
        <v>0</v>
      </c>
      <c r="AE493" s="486">
        <v>0</v>
      </c>
      <c r="AF493" s="485"/>
      <c r="AG493" s="486"/>
    </row>
    <row r="494" spans="1:33" s="28" customFormat="1" ht="15" customHeight="1">
      <c r="A494" s="117" t="s">
        <v>523</v>
      </c>
      <c r="B494" s="72" t="s">
        <v>565</v>
      </c>
      <c r="C494" s="147"/>
      <c r="D494" s="74">
        <v>222992</v>
      </c>
      <c r="E494" s="74">
        <v>8</v>
      </c>
      <c r="F494" s="483">
        <f t="shared" si="37"/>
        <v>712916</v>
      </c>
      <c r="G494" s="484">
        <f t="shared" si="38"/>
        <v>709283</v>
      </c>
      <c r="H494" s="485">
        <v>532488</v>
      </c>
      <c r="I494" s="486">
        <v>517681</v>
      </c>
      <c r="J494" s="485">
        <v>47618</v>
      </c>
      <c r="K494" s="486">
        <v>46784</v>
      </c>
      <c r="L494" s="485">
        <v>132810</v>
      </c>
      <c r="M494" s="485">
        <v>0</v>
      </c>
      <c r="N494" s="485">
        <v>0</v>
      </c>
      <c r="O494" s="486">
        <v>144818</v>
      </c>
      <c r="P494" s="486">
        <v>0</v>
      </c>
      <c r="Q494" s="486">
        <v>0</v>
      </c>
      <c r="R494" s="485"/>
      <c r="S494" s="486"/>
      <c r="T494" s="483">
        <f t="shared" si="40"/>
        <v>0</v>
      </c>
      <c r="U494" s="484">
        <f t="shared" si="36"/>
        <v>0</v>
      </c>
      <c r="V494" s="485">
        <v>0</v>
      </c>
      <c r="W494" s="486">
        <v>0</v>
      </c>
      <c r="X494" s="485">
        <v>0</v>
      </c>
      <c r="Y494" s="486">
        <v>0</v>
      </c>
      <c r="Z494" s="485">
        <v>0</v>
      </c>
      <c r="AA494" s="485">
        <v>0</v>
      </c>
      <c r="AB494" s="485">
        <v>0</v>
      </c>
      <c r="AC494" s="486">
        <v>0</v>
      </c>
      <c r="AD494" s="486">
        <v>0</v>
      </c>
      <c r="AE494" s="486">
        <v>0</v>
      </c>
      <c r="AF494" s="485"/>
      <c r="AG494" s="486"/>
    </row>
    <row r="495" spans="1:33" s="28" customFormat="1" ht="15" customHeight="1">
      <c r="A495" s="117" t="s">
        <v>523</v>
      </c>
      <c r="B495" s="72" t="s">
        <v>566</v>
      </c>
      <c r="C495" s="147"/>
      <c r="D495" s="74">
        <v>223427</v>
      </c>
      <c r="E495" s="74">
        <v>8</v>
      </c>
      <c r="F495" s="483">
        <f t="shared" si="37"/>
        <v>405102</v>
      </c>
      <c r="G495" s="484">
        <f t="shared" si="38"/>
        <v>404955</v>
      </c>
      <c r="H495" s="485">
        <v>51670</v>
      </c>
      <c r="I495" s="486">
        <v>54052</v>
      </c>
      <c r="J495" s="485">
        <v>253330</v>
      </c>
      <c r="K495" s="486">
        <v>243681</v>
      </c>
      <c r="L495" s="485">
        <v>100075</v>
      </c>
      <c r="M495" s="485">
        <v>27</v>
      </c>
      <c r="N495" s="485">
        <v>0</v>
      </c>
      <c r="O495" s="486">
        <v>107018</v>
      </c>
      <c r="P495" s="486">
        <v>78</v>
      </c>
      <c r="Q495" s="486">
        <v>126</v>
      </c>
      <c r="R495" s="485"/>
      <c r="S495" s="486"/>
      <c r="T495" s="483">
        <f t="shared" si="40"/>
        <v>0</v>
      </c>
      <c r="U495" s="484">
        <f t="shared" si="36"/>
        <v>0</v>
      </c>
      <c r="V495" s="485">
        <v>0</v>
      </c>
      <c r="W495" s="486">
        <v>0</v>
      </c>
      <c r="X495" s="485">
        <v>0</v>
      </c>
      <c r="Y495" s="486">
        <v>0</v>
      </c>
      <c r="Z495" s="485">
        <v>0</v>
      </c>
      <c r="AA495" s="485">
        <v>0</v>
      </c>
      <c r="AB495" s="485">
        <v>0</v>
      </c>
      <c r="AC495" s="486">
        <v>0</v>
      </c>
      <c r="AD495" s="486">
        <v>0</v>
      </c>
      <c r="AE495" s="486">
        <v>0</v>
      </c>
      <c r="AF495" s="485"/>
      <c r="AG495" s="486"/>
    </row>
    <row r="496" spans="1:33" s="28" customFormat="1" ht="15" customHeight="1">
      <c r="A496" s="117" t="s">
        <v>523</v>
      </c>
      <c r="B496" s="72" t="s">
        <v>567</v>
      </c>
      <c r="C496" s="147"/>
      <c r="D496" s="74">
        <v>223524</v>
      </c>
      <c r="E496" s="74">
        <v>8</v>
      </c>
      <c r="F496" s="483">
        <f t="shared" si="37"/>
        <v>206790</v>
      </c>
      <c r="G496" s="484">
        <f t="shared" si="38"/>
        <v>209475</v>
      </c>
      <c r="H496" s="485">
        <v>124335</v>
      </c>
      <c r="I496" s="486">
        <v>113846</v>
      </c>
      <c r="J496" s="485">
        <v>3720</v>
      </c>
      <c r="K496" s="486">
        <v>9534</v>
      </c>
      <c r="L496" s="485">
        <v>78735</v>
      </c>
      <c r="M496" s="485">
        <v>0</v>
      </c>
      <c r="N496" s="485">
        <v>0</v>
      </c>
      <c r="O496" s="486">
        <v>86095</v>
      </c>
      <c r="P496" s="486">
        <v>0</v>
      </c>
      <c r="Q496" s="486">
        <v>0</v>
      </c>
      <c r="R496" s="485"/>
      <c r="S496" s="486"/>
      <c r="T496" s="483">
        <f t="shared" si="40"/>
        <v>0</v>
      </c>
      <c r="U496" s="484">
        <f t="shared" si="36"/>
        <v>0</v>
      </c>
      <c r="V496" s="485">
        <v>0</v>
      </c>
      <c r="W496" s="486">
        <v>0</v>
      </c>
      <c r="X496" s="485">
        <v>0</v>
      </c>
      <c r="Y496" s="486">
        <v>0</v>
      </c>
      <c r="Z496" s="485">
        <v>0</v>
      </c>
      <c r="AA496" s="485">
        <v>0</v>
      </c>
      <c r="AB496" s="485">
        <v>0</v>
      </c>
      <c r="AC496" s="486">
        <v>0</v>
      </c>
      <c r="AD496" s="486">
        <v>0</v>
      </c>
      <c r="AE496" s="486">
        <v>0</v>
      </c>
      <c r="AF496" s="485"/>
      <c r="AG496" s="486"/>
    </row>
    <row r="497" spans="1:33" s="28" customFormat="1" ht="15" customHeight="1">
      <c r="A497" s="117" t="s">
        <v>523</v>
      </c>
      <c r="B497" s="72" t="s">
        <v>568</v>
      </c>
      <c r="C497" s="147"/>
      <c r="D497" s="74">
        <v>223816</v>
      </c>
      <c r="E497" s="74">
        <v>8</v>
      </c>
      <c r="F497" s="483">
        <f t="shared" si="37"/>
        <v>232530</v>
      </c>
      <c r="G497" s="484">
        <f t="shared" si="38"/>
        <v>229323</v>
      </c>
      <c r="H497" s="485">
        <v>76591</v>
      </c>
      <c r="I497" s="486">
        <v>76198</v>
      </c>
      <c r="J497" s="485">
        <v>29042</v>
      </c>
      <c r="K497" s="486">
        <v>22952</v>
      </c>
      <c r="L497" s="485">
        <v>126716</v>
      </c>
      <c r="M497" s="485">
        <v>181</v>
      </c>
      <c r="N497" s="485">
        <v>0</v>
      </c>
      <c r="O497" s="486">
        <v>129699</v>
      </c>
      <c r="P497" s="486">
        <v>411</v>
      </c>
      <c r="Q497" s="486">
        <v>63</v>
      </c>
      <c r="R497" s="485"/>
      <c r="S497" s="486"/>
      <c r="T497" s="483">
        <f t="shared" si="40"/>
        <v>0</v>
      </c>
      <c r="U497" s="484">
        <f t="shared" si="36"/>
        <v>0</v>
      </c>
      <c r="V497" s="485">
        <v>0</v>
      </c>
      <c r="W497" s="486">
        <v>0</v>
      </c>
      <c r="X497" s="485">
        <v>0</v>
      </c>
      <c r="Y497" s="486">
        <v>0</v>
      </c>
      <c r="Z497" s="485">
        <v>0</v>
      </c>
      <c r="AA497" s="485">
        <v>0</v>
      </c>
      <c r="AB497" s="485">
        <v>0</v>
      </c>
      <c r="AC497" s="486">
        <v>0</v>
      </c>
      <c r="AD497" s="486">
        <v>0</v>
      </c>
      <c r="AE497" s="486">
        <v>0</v>
      </c>
      <c r="AF497" s="485"/>
      <c r="AG497" s="486"/>
    </row>
    <row r="498" spans="1:33" s="28" customFormat="1" ht="15" customHeight="1">
      <c r="A498" s="117" t="s">
        <v>523</v>
      </c>
      <c r="B498" s="72" t="s">
        <v>569</v>
      </c>
      <c r="C498" s="147"/>
      <c r="D498" s="74">
        <v>247834</v>
      </c>
      <c r="E498" s="74">
        <v>8</v>
      </c>
      <c r="F498" s="483">
        <f t="shared" si="37"/>
        <v>574457</v>
      </c>
      <c r="G498" s="484">
        <f t="shared" si="38"/>
        <v>598348</v>
      </c>
      <c r="H498" s="485">
        <v>430732</v>
      </c>
      <c r="I498" s="486">
        <v>430032</v>
      </c>
      <c r="J498" s="485">
        <v>38873</v>
      </c>
      <c r="K498" s="486">
        <v>54750</v>
      </c>
      <c r="L498" s="485">
        <v>104852</v>
      </c>
      <c r="M498" s="485">
        <v>0</v>
      </c>
      <c r="N498" s="485">
        <v>0</v>
      </c>
      <c r="O498" s="486">
        <v>113566</v>
      </c>
      <c r="P498" s="486">
        <v>0</v>
      </c>
      <c r="Q498" s="486">
        <v>0</v>
      </c>
      <c r="R498" s="485"/>
      <c r="S498" s="486"/>
      <c r="T498" s="483">
        <f t="shared" si="40"/>
        <v>0</v>
      </c>
      <c r="U498" s="484">
        <f t="shared" si="36"/>
        <v>0</v>
      </c>
      <c r="V498" s="485">
        <v>0</v>
      </c>
      <c r="W498" s="486">
        <v>0</v>
      </c>
      <c r="X498" s="485">
        <v>0</v>
      </c>
      <c r="Y498" s="486">
        <v>0</v>
      </c>
      <c r="Z498" s="485">
        <v>0</v>
      </c>
      <c r="AA498" s="485">
        <v>0</v>
      </c>
      <c r="AB498" s="485">
        <v>0</v>
      </c>
      <c r="AC498" s="486">
        <v>0</v>
      </c>
      <c r="AD498" s="486">
        <v>0</v>
      </c>
      <c r="AE498" s="486">
        <v>0</v>
      </c>
      <c r="AF498" s="485"/>
      <c r="AG498" s="486"/>
    </row>
    <row r="499" spans="1:33" s="28" customFormat="1" ht="15" customHeight="1">
      <c r="A499" s="117" t="s">
        <v>523</v>
      </c>
      <c r="B499" s="72" t="s">
        <v>570</v>
      </c>
      <c r="C499" s="147"/>
      <c r="D499" s="74">
        <v>224350</v>
      </c>
      <c r="E499" s="74">
        <v>8</v>
      </c>
      <c r="F499" s="483">
        <f t="shared" si="37"/>
        <v>210900</v>
      </c>
      <c r="G499" s="484">
        <f t="shared" si="38"/>
        <v>207524</v>
      </c>
      <c r="H499" s="485">
        <v>174983</v>
      </c>
      <c r="I499" s="486">
        <v>158322</v>
      </c>
      <c r="J499" s="485">
        <v>3702</v>
      </c>
      <c r="K499" s="486">
        <v>5001</v>
      </c>
      <c r="L499" s="485">
        <v>32080</v>
      </c>
      <c r="M499" s="485">
        <v>135</v>
      </c>
      <c r="N499" s="485">
        <v>0</v>
      </c>
      <c r="O499" s="486">
        <v>44201</v>
      </c>
      <c r="P499" s="486">
        <v>0</v>
      </c>
      <c r="Q499" s="486">
        <v>0</v>
      </c>
      <c r="R499" s="485"/>
      <c r="S499" s="486"/>
      <c r="T499" s="483">
        <f t="shared" si="40"/>
        <v>0</v>
      </c>
      <c r="U499" s="484">
        <f t="shared" si="36"/>
        <v>0</v>
      </c>
      <c r="V499" s="485">
        <v>0</v>
      </c>
      <c r="W499" s="486">
        <v>0</v>
      </c>
      <c r="X499" s="485">
        <v>0</v>
      </c>
      <c r="Y499" s="486">
        <v>0</v>
      </c>
      <c r="Z499" s="485">
        <v>0</v>
      </c>
      <c r="AA499" s="485">
        <v>0</v>
      </c>
      <c r="AB499" s="485">
        <v>0</v>
      </c>
      <c r="AC499" s="486">
        <v>0</v>
      </c>
      <c r="AD499" s="486">
        <v>0</v>
      </c>
      <c r="AE499" s="486">
        <v>0</v>
      </c>
      <c r="AF499" s="485"/>
      <c r="AG499" s="486"/>
    </row>
    <row r="500" spans="1:33" s="28" customFormat="1" ht="15" customHeight="1">
      <c r="A500" s="117" t="s">
        <v>523</v>
      </c>
      <c r="B500" s="72" t="s">
        <v>571</v>
      </c>
      <c r="C500" s="147"/>
      <c r="D500" s="74">
        <v>224572</v>
      </c>
      <c r="E500" s="74">
        <v>8</v>
      </c>
      <c r="F500" s="483">
        <f t="shared" si="37"/>
        <v>227532</v>
      </c>
      <c r="G500" s="484">
        <f t="shared" si="38"/>
        <v>269307</v>
      </c>
      <c r="H500" s="485">
        <v>117462</v>
      </c>
      <c r="I500" s="486">
        <v>108424</v>
      </c>
      <c r="J500" s="485">
        <v>13912</v>
      </c>
      <c r="K500" s="486">
        <v>51330</v>
      </c>
      <c r="L500" s="485">
        <v>96158</v>
      </c>
      <c r="M500" s="485">
        <v>0</v>
      </c>
      <c r="N500" s="485">
        <v>0</v>
      </c>
      <c r="O500" s="486">
        <v>109457</v>
      </c>
      <c r="P500" s="486">
        <v>0</v>
      </c>
      <c r="Q500" s="486">
        <v>96</v>
      </c>
      <c r="R500" s="485"/>
      <c r="S500" s="486"/>
      <c r="T500" s="483">
        <f t="shared" si="40"/>
        <v>0</v>
      </c>
      <c r="U500" s="484">
        <f t="shared" si="36"/>
        <v>0</v>
      </c>
      <c r="V500" s="485">
        <v>0</v>
      </c>
      <c r="W500" s="486">
        <v>0</v>
      </c>
      <c r="X500" s="485">
        <v>0</v>
      </c>
      <c r="Y500" s="486">
        <v>0</v>
      </c>
      <c r="Z500" s="485">
        <v>0</v>
      </c>
      <c r="AA500" s="485">
        <v>0</v>
      </c>
      <c r="AB500" s="485">
        <v>0</v>
      </c>
      <c r="AC500" s="486">
        <v>0</v>
      </c>
      <c r="AD500" s="486">
        <v>0</v>
      </c>
      <c r="AE500" s="486">
        <v>0</v>
      </c>
      <c r="AF500" s="485"/>
      <c r="AG500" s="486"/>
    </row>
    <row r="501" spans="1:33" s="28" customFormat="1" ht="15" customHeight="1">
      <c r="A501" s="117" t="s">
        <v>523</v>
      </c>
      <c r="B501" s="150" t="s">
        <v>572</v>
      </c>
      <c r="C501" s="147"/>
      <c r="D501" s="74">
        <v>224615</v>
      </c>
      <c r="E501" s="74">
        <v>8</v>
      </c>
      <c r="F501" s="483">
        <f t="shared" si="37"/>
        <v>152980</v>
      </c>
      <c r="G501" s="484">
        <f t="shared" si="38"/>
        <v>169303</v>
      </c>
      <c r="H501" s="485">
        <v>93889</v>
      </c>
      <c r="I501" s="486">
        <v>94539</v>
      </c>
      <c r="J501" s="485">
        <v>9296</v>
      </c>
      <c r="K501" s="486">
        <v>18187</v>
      </c>
      <c r="L501" s="485">
        <v>49795</v>
      </c>
      <c r="M501" s="485">
        <v>0</v>
      </c>
      <c r="N501" s="485">
        <v>0</v>
      </c>
      <c r="O501" s="486">
        <v>56577</v>
      </c>
      <c r="P501" s="486">
        <v>0</v>
      </c>
      <c r="Q501" s="486">
        <v>0</v>
      </c>
      <c r="R501" s="485"/>
      <c r="S501" s="486"/>
      <c r="T501" s="483">
        <f t="shared" si="40"/>
        <v>0</v>
      </c>
      <c r="U501" s="484">
        <f t="shared" ref="U501:U564" si="41">SUM(W501,Y501,AC501,AD501,AE501,AG501)</f>
        <v>0</v>
      </c>
      <c r="V501" s="485">
        <v>0</v>
      </c>
      <c r="W501" s="486">
        <v>0</v>
      </c>
      <c r="X501" s="485">
        <v>0</v>
      </c>
      <c r="Y501" s="486">
        <v>0</v>
      </c>
      <c r="Z501" s="485">
        <v>0</v>
      </c>
      <c r="AA501" s="485">
        <v>0</v>
      </c>
      <c r="AB501" s="485">
        <v>0</v>
      </c>
      <c r="AC501" s="486">
        <v>0</v>
      </c>
      <c r="AD501" s="486">
        <v>0</v>
      </c>
      <c r="AE501" s="486">
        <v>0</v>
      </c>
      <c r="AF501" s="485"/>
      <c r="AG501" s="486"/>
    </row>
    <row r="502" spans="1:33" s="28" customFormat="1" ht="15" customHeight="1">
      <c r="A502" s="117" t="s">
        <v>523</v>
      </c>
      <c r="B502" s="72" t="s">
        <v>573</v>
      </c>
      <c r="C502" s="147"/>
      <c r="D502" s="74">
        <v>224642</v>
      </c>
      <c r="E502" s="74">
        <v>8</v>
      </c>
      <c r="F502" s="483">
        <f t="shared" si="37"/>
        <v>505868</v>
      </c>
      <c r="G502" s="484">
        <f t="shared" si="38"/>
        <v>520895</v>
      </c>
      <c r="H502" s="485">
        <v>368266</v>
      </c>
      <c r="I502" s="486">
        <v>355381</v>
      </c>
      <c r="J502" s="485">
        <v>55343</v>
      </c>
      <c r="K502" s="486">
        <v>73925</v>
      </c>
      <c r="L502" s="485">
        <v>82259</v>
      </c>
      <c r="M502" s="485">
        <v>0</v>
      </c>
      <c r="N502" s="485">
        <v>0</v>
      </c>
      <c r="O502" s="486">
        <v>91589</v>
      </c>
      <c r="P502" s="486">
        <v>0</v>
      </c>
      <c r="Q502" s="486">
        <v>0</v>
      </c>
      <c r="R502" s="485"/>
      <c r="S502" s="486"/>
      <c r="T502" s="483">
        <f t="shared" si="40"/>
        <v>0</v>
      </c>
      <c r="U502" s="484">
        <f t="shared" si="41"/>
        <v>0</v>
      </c>
      <c r="V502" s="485">
        <v>0</v>
      </c>
      <c r="W502" s="486">
        <v>0</v>
      </c>
      <c r="X502" s="485">
        <v>0</v>
      </c>
      <c r="Y502" s="486">
        <v>0</v>
      </c>
      <c r="Z502" s="485">
        <v>0</v>
      </c>
      <c r="AA502" s="485">
        <v>0</v>
      </c>
      <c r="AB502" s="485">
        <v>0</v>
      </c>
      <c r="AC502" s="486">
        <v>0</v>
      </c>
      <c r="AD502" s="486">
        <v>0</v>
      </c>
      <c r="AE502" s="486">
        <v>0</v>
      </c>
      <c r="AF502" s="485"/>
      <c r="AG502" s="486"/>
    </row>
    <row r="503" spans="1:33" s="28" customFormat="1" ht="15" customHeight="1">
      <c r="A503" s="71" t="s">
        <v>523</v>
      </c>
      <c r="B503" s="72" t="s">
        <v>574</v>
      </c>
      <c r="C503" s="147"/>
      <c r="D503" s="74">
        <v>225423</v>
      </c>
      <c r="E503" s="74">
        <v>8</v>
      </c>
      <c r="F503" s="483">
        <f t="shared" si="37"/>
        <v>1086042</v>
      </c>
      <c r="G503" s="484">
        <f t="shared" si="38"/>
        <v>1038543</v>
      </c>
      <c r="H503" s="485">
        <v>539983</v>
      </c>
      <c r="I503" s="486">
        <v>507673</v>
      </c>
      <c r="J503" s="485">
        <v>194671</v>
      </c>
      <c r="K503" s="486">
        <v>185630</v>
      </c>
      <c r="L503" s="485">
        <v>351388</v>
      </c>
      <c r="M503" s="485">
        <v>0</v>
      </c>
      <c r="N503" s="485">
        <v>0</v>
      </c>
      <c r="O503" s="486">
        <v>345240</v>
      </c>
      <c r="P503" s="486">
        <v>0</v>
      </c>
      <c r="Q503" s="486">
        <v>0</v>
      </c>
      <c r="R503" s="485"/>
      <c r="S503" s="486"/>
      <c r="T503" s="483">
        <f t="shared" si="40"/>
        <v>0</v>
      </c>
      <c r="U503" s="484">
        <f t="shared" si="41"/>
        <v>0</v>
      </c>
      <c r="V503" s="485">
        <v>0</v>
      </c>
      <c r="W503" s="486">
        <v>0</v>
      </c>
      <c r="X503" s="485">
        <v>0</v>
      </c>
      <c r="Y503" s="486">
        <v>0</v>
      </c>
      <c r="Z503" s="485">
        <v>0</v>
      </c>
      <c r="AA503" s="485">
        <v>0</v>
      </c>
      <c r="AB503" s="485">
        <v>0</v>
      </c>
      <c r="AC503" s="486">
        <v>0</v>
      </c>
      <c r="AD503" s="486">
        <v>0</v>
      </c>
      <c r="AE503" s="486">
        <v>0</v>
      </c>
      <c r="AF503" s="485"/>
      <c r="AG503" s="486"/>
    </row>
    <row r="504" spans="1:33" s="28" customFormat="1" ht="15" customHeight="1">
      <c r="A504" s="71" t="s">
        <v>523</v>
      </c>
      <c r="B504" s="72" t="s">
        <v>575</v>
      </c>
      <c r="C504" s="147"/>
      <c r="D504" s="74">
        <v>226134</v>
      </c>
      <c r="E504" s="74">
        <v>8</v>
      </c>
      <c r="F504" s="483">
        <f t="shared" si="37"/>
        <v>159541</v>
      </c>
      <c r="G504" s="484">
        <f t="shared" si="38"/>
        <v>173674</v>
      </c>
      <c r="H504" s="485">
        <v>117828</v>
      </c>
      <c r="I504" s="486">
        <v>116402</v>
      </c>
      <c r="J504" s="485">
        <v>16242</v>
      </c>
      <c r="K504" s="486">
        <v>25267</v>
      </c>
      <c r="L504" s="485">
        <v>24637</v>
      </c>
      <c r="M504" s="485">
        <v>834</v>
      </c>
      <c r="N504" s="485">
        <v>0</v>
      </c>
      <c r="O504" s="486">
        <v>31081</v>
      </c>
      <c r="P504" s="486">
        <v>924</v>
      </c>
      <c r="Q504" s="486">
        <v>0</v>
      </c>
      <c r="R504" s="485"/>
      <c r="S504" s="486"/>
      <c r="T504" s="483">
        <f t="shared" si="40"/>
        <v>0</v>
      </c>
      <c r="U504" s="484">
        <f t="shared" si="41"/>
        <v>0</v>
      </c>
      <c r="V504" s="485">
        <v>0</v>
      </c>
      <c r="W504" s="486">
        <v>0</v>
      </c>
      <c r="X504" s="485">
        <v>0</v>
      </c>
      <c r="Y504" s="486">
        <v>0</v>
      </c>
      <c r="Z504" s="485">
        <v>0</v>
      </c>
      <c r="AA504" s="485">
        <v>0</v>
      </c>
      <c r="AB504" s="485">
        <v>0</v>
      </c>
      <c r="AC504" s="486">
        <v>0</v>
      </c>
      <c r="AD504" s="486">
        <v>0</v>
      </c>
      <c r="AE504" s="486">
        <v>0</v>
      </c>
      <c r="AF504" s="485"/>
      <c r="AG504" s="486"/>
    </row>
    <row r="505" spans="1:33" s="28" customFormat="1" ht="15" customHeight="1">
      <c r="A505" s="71" t="s">
        <v>523</v>
      </c>
      <c r="B505" s="72" t="s">
        <v>576</v>
      </c>
      <c r="C505" s="147"/>
      <c r="D505" s="74">
        <v>227182</v>
      </c>
      <c r="E505" s="74">
        <v>8</v>
      </c>
      <c r="F505" s="483">
        <f t="shared" si="37"/>
        <v>1270869</v>
      </c>
      <c r="G505" s="484">
        <f t="shared" si="38"/>
        <v>1400320</v>
      </c>
      <c r="H505" s="485">
        <v>781324</v>
      </c>
      <c r="I505" s="486">
        <v>756765</v>
      </c>
      <c r="J505" s="485">
        <v>101107</v>
      </c>
      <c r="K505" s="486">
        <v>130842</v>
      </c>
      <c r="L505" s="485">
        <v>388318</v>
      </c>
      <c r="M505" s="485">
        <v>120</v>
      </c>
      <c r="N505" s="485">
        <v>0</v>
      </c>
      <c r="O505" s="486">
        <v>512463</v>
      </c>
      <c r="P505" s="486">
        <v>250</v>
      </c>
      <c r="Q505" s="486">
        <v>0</v>
      </c>
      <c r="R505" s="485"/>
      <c r="S505" s="486"/>
      <c r="T505" s="483">
        <f t="shared" si="40"/>
        <v>0</v>
      </c>
      <c r="U505" s="484">
        <f t="shared" si="41"/>
        <v>0</v>
      </c>
      <c r="V505" s="485">
        <v>0</v>
      </c>
      <c r="W505" s="486">
        <v>0</v>
      </c>
      <c r="X505" s="485">
        <v>0</v>
      </c>
      <c r="Y505" s="486">
        <v>0</v>
      </c>
      <c r="Z505" s="485">
        <v>0</v>
      </c>
      <c r="AA505" s="485">
        <v>0</v>
      </c>
      <c r="AB505" s="485">
        <v>0</v>
      </c>
      <c r="AC505" s="486">
        <v>0</v>
      </c>
      <c r="AD505" s="486">
        <v>0</v>
      </c>
      <c r="AE505" s="486">
        <v>0</v>
      </c>
      <c r="AF505" s="485"/>
      <c r="AG505" s="486"/>
    </row>
    <row r="506" spans="1:33" s="28" customFormat="1" ht="15" customHeight="1">
      <c r="A506" s="71" t="s">
        <v>523</v>
      </c>
      <c r="B506" s="72" t="s">
        <v>577</v>
      </c>
      <c r="C506" s="147"/>
      <c r="D506" s="74">
        <v>226578</v>
      </c>
      <c r="E506" s="74">
        <v>8</v>
      </c>
      <c r="F506" s="483">
        <f t="shared" si="37"/>
        <v>182697</v>
      </c>
      <c r="G506" s="484">
        <f t="shared" si="38"/>
        <v>181374</v>
      </c>
      <c r="H506" s="485">
        <v>118649</v>
      </c>
      <c r="I506" s="486">
        <v>113473</v>
      </c>
      <c r="J506" s="485">
        <v>393</v>
      </c>
      <c r="K506" s="486">
        <v>203</v>
      </c>
      <c r="L506" s="485">
        <v>63505</v>
      </c>
      <c r="M506" s="485">
        <v>150</v>
      </c>
      <c r="N506" s="485">
        <v>0</v>
      </c>
      <c r="O506" s="486">
        <v>67698</v>
      </c>
      <c r="P506" s="486">
        <v>0</v>
      </c>
      <c r="Q506" s="486">
        <v>0</v>
      </c>
      <c r="R506" s="485"/>
      <c r="S506" s="486"/>
      <c r="T506" s="483">
        <f t="shared" si="40"/>
        <v>0</v>
      </c>
      <c r="U506" s="484">
        <f t="shared" si="41"/>
        <v>0</v>
      </c>
      <c r="V506" s="485">
        <v>0</v>
      </c>
      <c r="W506" s="486">
        <v>0</v>
      </c>
      <c r="X506" s="485">
        <v>0</v>
      </c>
      <c r="Y506" s="486">
        <v>0</v>
      </c>
      <c r="Z506" s="485">
        <v>0</v>
      </c>
      <c r="AA506" s="485">
        <v>0</v>
      </c>
      <c r="AB506" s="485">
        <v>0</v>
      </c>
      <c r="AC506" s="486">
        <v>0</v>
      </c>
      <c r="AD506" s="486">
        <v>0</v>
      </c>
      <c r="AE506" s="486">
        <v>0</v>
      </c>
      <c r="AF506" s="485"/>
      <c r="AG506" s="486"/>
    </row>
    <row r="507" spans="1:33" s="28" customFormat="1" ht="15" customHeight="1">
      <c r="A507" s="71" t="s">
        <v>523</v>
      </c>
      <c r="B507" s="72" t="s">
        <v>578</v>
      </c>
      <c r="C507" s="147"/>
      <c r="D507" s="74">
        <v>227146</v>
      </c>
      <c r="E507" s="151">
        <v>8</v>
      </c>
      <c r="F507" s="483">
        <f t="shared" si="37"/>
        <v>178998</v>
      </c>
      <c r="G507" s="484">
        <f t="shared" si="38"/>
        <v>177446</v>
      </c>
      <c r="H507" s="485">
        <v>51629</v>
      </c>
      <c r="I507" s="486">
        <v>48396</v>
      </c>
      <c r="J507" s="485">
        <v>77331</v>
      </c>
      <c r="K507" s="486">
        <v>73708</v>
      </c>
      <c r="L507" s="485">
        <v>49862</v>
      </c>
      <c r="M507" s="485">
        <v>0</v>
      </c>
      <c r="N507" s="485">
        <v>176</v>
      </c>
      <c r="O507" s="486">
        <v>55342</v>
      </c>
      <c r="P507" s="486">
        <v>0</v>
      </c>
      <c r="Q507" s="486">
        <v>0</v>
      </c>
      <c r="R507" s="485"/>
      <c r="S507" s="486"/>
      <c r="T507" s="483">
        <f t="shared" si="40"/>
        <v>0</v>
      </c>
      <c r="U507" s="484">
        <f t="shared" si="41"/>
        <v>0</v>
      </c>
      <c r="V507" s="485">
        <v>0</v>
      </c>
      <c r="W507" s="486">
        <v>0</v>
      </c>
      <c r="X507" s="485">
        <v>0</v>
      </c>
      <c r="Y507" s="486">
        <v>0</v>
      </c>
      <c r="Z507" s="485">
        <v>0</v>
      </c>
      <c r="AA507" s="485">
        <v>0</v>
      </c>
      <c r="AB507" s="485">
        <v>0</v>
      </c>
      <c r="AC507" s="486">
        <v>0</v>
      </c>
      <c r="AD507" s="486">
        <v>0</v>
      </c>
      <c r="AE507" s="486">
        <v>0</v>
      </c>
      <c r="AF507" s="485"/>
      <c r="AG507" s="486"/>
    </row>
    <row r="508" spans="1:33" s="28" customFormat="1" ht="15" customHeight="1">
      <c r="A508" s="71" t="s">
        <v>523</v>
      </c>
      <c r="B508" s="150" t="s">
        <v>579</v>
      </c>
      <c r="C508" s="147"/>
      <c r="D508" s="74">
        <v>224110</v>
      </c>
      <c r="E508" s="74">
        <v>8</v>
      </c>
      <c r="F508" s="483">
        <f t="shared" si="37"/>
        <v>177665</v>
      </c>
      <c r="G508" s="484">
        <f t="shared" si="38"/>
        <v>179992</v>
      </c>
      <c r="H508" s="485">
        <v>23418</v>
      </c>
      <c r="I508" s="486">
        <v>22364</v>
      </c>
      <c r="J508" s="485">
        <v>96294</v>
      </c>
      <c r="K508" s="486">
        <v>89112</v>
      </c>
      <c r="L508" s="485">
        <v>57344</v>
      </c>
      <c r="M508" s="485">
        <v>531</v>
      </c>
      <c r="N508" s="485">
        <v>78</v>
      </c>
      <c r="O508" s="486">
        <v>67598</v>
      </c>
      <c r="P508" s="486">
        <v>909</v>
      </c>
      <c r="Q508" s="486">
        <v>9</v>
      </c>
      <c r="R508" s="485"/>
      <c r="S508" s="486"/>
      <c r="T508" s="483">
        <f t="shared" si="40"/>
        <v>0</v>
      </c>
      <c r="U508" s="484">
        <f t="shared" si="41"/>
        <v>0</v>
      </c>
      <c r="V508" s="485">
        <v>0</v>
      </c>
      <c r="W508" s="486">
        <v>0</v>
      </c>
      <c r="X508" s="485">
        <v>0</v>
      </c>
      <c r="Y508" s="486">
        <v>0</v>
      </c>
      <c r="Z508" s="485">
        <v>0</v>
      </c>
      <c r="AA508" s="485">
        <v>0</v>
      </c>
      <c r="AB508" s="485">
        <v>0</v>
      </c>
      <c r="AC508" s="486">
        <v>0</v>
      </c>
      <c r="AD508" s="486">
        <v>0</v>
      </c>
      <c r="AE508" s="486">
        <v>0</v>
      </c>
      <c r="AF508" s="485"/>
      <c r="AG508" s="486"/>
    </row>
    <row r="509" spans="1:33" s="28" customFormat="1" ht="15" customHeight="1">
      <c r="A509" s="71" t="s">
        <v>523</v>
      </c>
      <c r="B509" s="72" t="s">
        <v>580</v>
      </c>
      <c r="C509" s="147"/>
      <c r="D509" s="74">
        <v>227191</v>
      </c>
      <c r="E509" s="74">
        <v>8</v>
      </c>
      <c r="F509" s="483">
        <f t="shared" si="37"/>
        <v>184285</v>
      </c>
      <c r="G509" s="484">
        <f t="shared" si="38"/>
        <v>182725</v>
      </c>
      <c r="H509" s="485">
        <v>114213</v>
      </c>
      <c r="I509" s="486">
        <v>110847</v>
      </c>
      <c r="J509" s="485">
        <v>4247</v>
      </c>
      <c r="K509" s="486">
        <v>5613</v>
      </c>
      <c r="L509" s="485">
        <v>65825</v>
      </c>
      <c r="M509" s="485">
        <v>0</v>
      </c>
      <c r="N509" s="485">
        <v>0</v>
      </c>
      <c r="O509" s="486">
        <v>66265</v>
      </c>
      <c r="P509" s="486">
        <v>0</v>
      </c>
      <c r="Q509" s="486">
        <v>0</v>
      </c>
      <c r="R509" s="485"/>
      <c r="S509" s="486"/>
      <c r="T509" s="483">
        <f t="shared" si="40"/>
        <v>0</v>
      </c>
      <c r="U509" s="484">
        <f t="shared" si="41"/>
        <v>0</v>
      </c>
      <c r="V509" s="485">
        <v>0</v>
      </c>
      <c r="W509" s="486">
        <v>0</v>
      </c>
      <c r="X509" s="485">
        <v>0</v>
      </c>
      <c r="Y509" s="486">
        <v>0</v>
      </c>
      <c r="Z509" s="485">
        <v>0</v>
      </c>
      <c r="AA509" s="485">
        <v>0</v>
      </c>
      <c r="AB509" s="485">
        <v>0</v>
      </c>
      <c r="AC509" s="486">
        <v>0</v>
      </c>
      <c r="AD509" s="486">
        <v>0</v>
      </c>
      <c r="AE509" s="486">
        <v>0</v>
      </c>
      <c r="AF509" s="485"/>
      <c r="AG509" s="486"/>
    </row>
    <row r="510" spans="1:33" s="28" customFormat="1" ht="15" customHeight="1">
      <c r="A510" s="71" t="s">
        <v>523</v>
      </c>
      <c r="B510" s="72" t="s">
        <v>581</v>
      </c>
      <c r="C510" s="147"/>
      <c r="D510" s="74">
        <v>420398</v>
      </c>
      <c r="E510" s="74">
        <v>8</v>
      </c>
      <c r="F510" s="483">
        <f t="shared" si="37"/>
        <v>295407</v>
      </c>
      <c r="G510" s="484">
        <f t="shared" si="38"/>
        <v>294308</v>
      </c>
      <c r="H510" s="485">
        <v>202023</v>
      </c>
      <c r="I510" s="486">
        <v>191328</v>
      </c>
      <c r="J510" s="485">
        <v>34072</v>
      </c>
      <c r="K510" s="486">
        <v>37617</v>
      </c>
      <c r="L510" s="485">
        <v>59312</v>
      </c>
      <c r="M510" s="485">
        <v>0</v>
      </c>
      <c r="N510" s="485">
        <v>0</v>
      </c>
      <c r="O510" s="486">
        <v>65363</v>
      </c>
      <c r="P510" s="486">
        <v>0</v>
      </c>
      <c r="Q510" s="486">
        <v>0</v>
      </c>
      <c r="R510" s="485"/>
      <c r="S510" s="486"/>
      <c r="T510" s="483">
        <f t="shared" si="40"/>
        <v>0</v>
      </c>
      <c r="U510" s="484">
        <f t="shared" si="41"/>
        <v>0</v>
      </c>
      <c r="V510" s="485">
        <v>0</v>
      </c>
      <c r="W510" s="486">
        <v>0</v>
      </c>
      <c r="X510" s="485">
        <v>0</v>
      </c>
      <c r="Y510" s="486">
        <v>0</v>
      </c>
      <c r="Z510" s="485">
        <v>0</v>
      </c>
      <c r="AA510" s="485">
        <v>0</v>
      </c>
      <c r="AB510" s="485">
        <v>0</v>
      </c>
      <c r="AC510" s="486">
        <v>0</v>
      </c>
      <c r="AD510" s="486">
        <v>0</v>
      </c>
      <c r="AE510" s="486">
        <v>0</v>
      </c>
      <c r="AF510" s="485"/>
      <c r="AG510" s="486"/>
    </row>
    <row r="511" spans="1:33" s="28" customFormat="1" ht="15" customHeight="1">
      <c r="A511" s="71" t="s">
        <v>523</v>
      </c>
      <c r="B511" s="72" t="s">
        <v>582</v>
      </c>
      <c r="C511" s="147"/>
      <c r="D511" s="74">
        <v>246354</v>
      </c>
      <c r="E511" s="74">
        <v>8</v>
      </c>
      <c r="F511" s="483">
        <f t="shared" si="37"/>
        <v>162612</v>
      </c>
      <c r="G511" s="484">
        <f t="shared" si="38"/>
        <v>164975</v>
      </c>
      <c r="H511" s="485">
        <v>101363</v>
      </c>
      <c r="I511" s="486">
        <v>102519</v>
      </c>
      <c r="J511" s="485">
        <v>3282</v>
      </c>
      <c r="K511" s="486">
        <v>1885</v>
      </c>
      <c r="L511" s="485">
        <v>57967</v>
      </c>
      <c r="M511" s="485">
        <v>0</v>
      </c>
      <c r="N511" s="485">
        <v>0</v>
      </c>
      <c r="O511" s="486">
        <v>60571</v>
      </c>
      <c r="P511" s="486">
        <v>0</v>
      </c>
      <c r="Q511" s="486">
        <v>0</v>
      </c>
      <c r="R511" s="485"/>
      <c r="S511" s="486"/>
      <c r="T511" s="483">
        <f t="shared" si="40"/>
        <v>0</v>
      </c>
      <c r="U511" s="484">
        <f t="shared" si="41"/>
        <v>0</v>
      </c>
      <c r="V511" s="485">
        <v>0</v>
      </c>
      <c r="W511" s="486">
        <v>0</v>
      </c>
      <c r="X511" s="485">
        <v>0</v>
      </c>
      <c r="Y511" s="486">
        <v>0</v>
      </c>
      <c r="Z511" s="485">
        <v>0</v>
      </c>
      <c r="AA511" s="485">
        <v>0</v>
      </c>
      <c r="AB511" s="485">
        <v>0</v>
      </c>
      <c r="AC511" s="486">
        <v>0</v>
      </c>
      <c r="AD511" s="486">
        <v>0</v>
      </c>
      <c r="AE511" s="486">
        <v>0</v>
      </c>
      <c r="AF511" s="485"/>
      <c r="AG511" s="486"/>
    </row>
    <row r="512" spans="1:33" s="28" customFormat="1" ht="15" customHeight="1">
      <c r="A512" s="71" t="s">
        <v>523</v>
      </c>
      <c r="B512" s="72" t="s">
        <v>583</v>
      </c>
      <c r="C512" s="147"/>
      <c r="D512" s="74">
        <v>227766</v>
      </c>
      <c r="E512" s="74">
        <v>8</v>
      </c>
      <c r="F512" s="483">
        <f t="shared" si="37"/>
        <v>319773</v>
      </c>
      <c r="G512" s="484">
        <f t="shared" si="38"/>
        <v>334899</v>
      </c>
      <c r="H512" s="485">
        <v>198576</v>
      </c>
      <c r="I512" s="486">
        <v>193919</v>
      </c>
      <c r="J512" s="485">
        <v>5580</v>
      </c>
      <c r="K512" s="486">
        <v>16615</v>
      </c>
      <c r="L512" s="485">
        <v>115617</v>
      </c>
      <c r="M512" s="485">
        <v>0</v>
      </c>
      <c r="N512" s="485">
        <v>0</v>
      </c>
      <c r="O512" s="486">
        <v>124365</v>
      </c>
      <c r="P512" s="486">
        <v>0</v>
      </c>
      <c r="Q512" s="486">
        <v>0</v>
      </c>
      <c r="R512" s="485"/>
      <c r="S512" s="486"/>
      <c r="T512" s="483">
        <f t="shared" si="40"/>
        <v>0</v>
      </c>
      <c r="U512" s="484">
        <f t="shared" si="41"/>
        <v>0</v>
      </c>
      <c r="V512" s="485">
        <v>0</v>
      </c>
      <c r="W512" s="486">
        <v>0</v>
      </c>
      <c r="X512" s="485">
        <v>0</v>
      </c>
      <c r="Y512" s="486">
        <v>0</v>
      </c>
      <c r="Z512" s="485">
        <v>0</v>
      </c>
      <c r="AA512" s="485">
        <v>0</v>
      </c>
      <c r="AB512" s="485">
        <v>0</v>
      </c>
      <c r="AC512" s="486">
        <v>0</v>
      </c>
      <c r="AD512" s="486">
        <v>0</v>
      </c>
      <c r="AE512" s="486">
        <v>0</v>
      </c>
      <c r="AF512" s="485"/>
      <c r="AG512" s="486"/>
    </row>
    <row r="513" spans="1:33" s="28" customFormat="1" ht="15" customHeight="1">
      <c r="A513" s="71" t="s">
        <v>523</v>
      </c>
      <c r="B513" s="72" t="s">
        <v>584</v>
      </c>
      <c r="C513" s="147"/>
      <c r="D513" s="74">
        <v>227924</v>
      </c>
      <c r="E513" s="74">
        <v>8</v>
      </c>
      <c r="F513" s="483">
        <f t="shared" si="37"/>
        <v>344161</v>
      </c>
      <c r="G513" s="484">
        <f t="shared" si="38"/>
        <v>329161</v>
      </c>
      <c r="H513" s="485">
        <v>225067</v>
      </c>
      <c r="I513" s="486">
        <v>208914</v>
      </c>
      <c r="J513" s="485">
        <v>14989</v>
      </c>
      <c r="K513" s="486">
        <v>16290</v>
      </c>
      <c r="L513" s="485">
        <v>104105</v>
      </c>
      <c r="M513" s="485">
        <v>0</v>
      </c>
      <c r="N513" s="485">
        <v>0</v>
      </c>
      <c r="O513" s="486">
        <v>103957</v>
      </c>
      <c r="P513" s="486">
        <v>0</v>
      </c>
      <c r="Q513" s="486">
        <v>0</v>
      </c>
      <c r="R513" s="485"/>
      <c r="S513" s="486"/>
      <c r="T513" s="483">
        <f t="shared" si="40"/>
        <v>0</v>
      </c>
      <c r="U513" s="484">
        <f t="shared" si="41"/>
        <v>0</v>
      </c>
      <c r="V513" s="485">
        <v>0</v>
      </c>
      <c r="W513" s="486">
        <v>0</v>
      </c>
      <c r="X513" s="485">
        <v>0</v>
      </c>
      <c r="Y513" s="486">
        <v>0</v>
      </c>
      <c r="Z513" s="485">
        <v>0</v>
      </c>
      <c r="AA513" s="485">
        <v>0</v>
      </c>
      <c r="AB513" s="485">
        <v>0</v>
      </c>
      <c r="AC513" s="486">
        <v>0</v>
      </c>
      <c r="AD513" s="486">
        <v>0</v>
      </c>
      <c r="AE513" s="486">
        <v>0</v>
      </c>
      <c r="AF513" s="485"/>
      <c r="AG513" s="486"/>
    </row>
    <row r="514" spans="1:33" s="28" customFormat="1" ht="15" customHeight="1">
      <c r="A514" s="71" t="s">
        <v>523</v>
      </c>
      <c r="B514" s="72" t="s">
        <v>585</v>
      </c>
      <c r="C514" s="147"/>
      <c r="D514" s="74">
        <v>227979</v>
      </c>
      <c r="E514" s="74">
        <v>8</v>
      </c>
      <c r="F514" s="483">
        <f t="shared" si="37"/>
        <v>602358</v>
      </c>
      <c r="G514" s="484">
        <f t="shared" si="38"/>
        <v>607595</v>
      </c>
      <c r="H514" s="485">
        <v>466687</v>
      </c>
      <c r="I514" s="486">
        <v>451717</v>
      </c>
      <c r="J514" s="485">
        <v>10347</v>
      </c>
      <c r="K514" s="486">
        <v>14676</v>
      </c>
      <c r="L514" s="485">
        <v>125258</v>
      </c>
      <c r="M514" s="485">
        <v>66</v>
      </c>
      <c r="N514" s="485">
        <v>0</v>
      </c>
      <c r="O514" s="486">
        <v>141139</v>
      </c>
      <c r="P514" s="486">
        <v>63</v>
      </c>
      <c r="Q514" s="486">
        <v>0</v>
      </c>
      <c r="R514" s="485"/>
      <c r="S514" s="486"/>
      <c r="T514" s="483">
        <f t="shared" si="40"/>
        <v>0</v>
      </c>
      <c r="U514" s="484">
        <f t="shared" si="41"/>
        <v>0</v>
      </c>
      <c r="V514" s="485">
        <v>0</v>
      </c>
      <c r="W514" s="486">
        <v>0</v>
      </c>
      <c r="X514" s="485">
        <v>0</v>
      </c>
      <c r="Y514" s="486">
        <v>0</v>
      </c>
      <c r="Z514" s="485">
        <v>0</v>
      </c>
      <c r="AA514" s="485">
        <v>0</v>
      </c>
      <c r="AB514" s="485">
        <v>0</v>
      </c>
      <c r="AC514" s="486">
        <v>0</v>
      </c>
      <c r="AD514" s="486">
        <v>0</v>
      </c>
      <c r="AE514" s="486">
        <v>0</v>
      </c>
      <c r="AF514" s="485"/>
      <c r="AG514" s="486"/>
    </row>
    <row r="515" spans="1:33" s="28" customFormat="1" ht="15" customHeight="1">
      <c r="A515" s="71" t="s">
        <v>523</v>
      </c>
      <c r="B515" s="72" t="s">
        <v>586</v>
      </c>
      <c r="C515" s="147"/>
      <c r="D515" s="74">
        <v>228158</v>
      </c>
      <c r="E515" s="74">
        <v>8</v>
      </c>
      <c r="F515" s="483">
        <f t="shared" si="37"/>
        <v>190242</v>
      </c>
      <c r="G515" s="484">
        <f t="shared" si="38"/>
        <v>187779</v>
      </c>
      <c r="H515" s="485">
        <v>81734</v>
      </c>
      <c r="I515" s="486">
        <v>74220</v>
      </c>
      <c r="J515" s="485">
        <v>59816</v>
      </c>
      <c r="K515" s="486">
        <v>57968</v>
      </c>
      <c r="L515" s="485">
        <v>46952</v>
      </c>
      <c r="M515" s="485">
        <v>1740</v>
      </c>
      <c r="N515" s="485">
        <v>0</v>
      </c>
      <c r="O515" s="486">
        <v>53419</v>
      </c>
      <c r="P515" s="486">
        <v>2172</v>
      </c>
      <c r="Q515" s="486">
        <v>0</v>
      </c>
      <c r="R515" s="485"/>
      <c r="S515" s="486"/>
      <c r="T515" s="483">
        <f t="shared" si="40"/>
        <v>0</v>
      </c>
      <c r="U515" s="484">
        <f t="shared" si="41"/>
        <v>0</v>
      </c>
      <c r="V515" s="485">
        <v>0</v>
      </c>
      <c r="W515" s="486">
        <v>0</v>
      </c>
      <c r="X515" s="485">
        <v>0</v>
      </c>
      <c r="Y515" s="486">
        <v>0</v>
      </c>
      <c r="Z515" s="485">
        <v>0</v>
      </c>
      <c r="AA515" s="485">
        <v>0</v>
      </c>
      <c r="AB515" s="485">
        <v>0</v>
      </c>
      <c r="AC515" s="486">
        <v>0</v>
      </c>
      <c r="AD515" s="486">
        <v>0</v>
      </c>
      <c r="AE515" s="486">
        <v>0</v>
      </c>
      <c r="AF515" s="485"/>
      <c r="AG515" s="486"/>
    </row>
    <row r="516" spans="1:33" s="28" customFormat="1" ht="15" customHeight="1">
      <c r="A516" s="71" t="s">
        <v>523</v>
      </c>
      <c r="B516" s="72" t="s">
        <v>587</v>
      </c>
      <c r="C516" s="147"/>
      <c r="D516" s="74">
        <v>227854</v>
      </c>
      <c r="E516" s="74">
        <v>8</v>
      </c>
      <c r="F516" s="483">
        <f t="shared" si="37"/>
        <v>195244</v>
      </c>
      <c r="G516" s="484">
        <f t="shared" si="38"/>
        <v>193196</v>
      </c>
      <c r="H516" s="485">
        <v>105307</v>
      </c>
      <c r="I516" s="486">
        <v>96295</v>
      </c>
      <c r="J516" s="485">
        <v>25195</v>
      </c>
      <c r="K516" s="486">
        <v>32101</v>
      </c>
      <c r="L516" s="485">
        <v>64742</v>
      </c>
      <c r="M516" s="485">
        <v>0</v>
      </c>
      <c r="N516" s="485">
        <v>0</v>
      </c>
      <c r="O516" s="486">
        <v>64800</v>
      </c>
      <c r="P516" s="486">
        <v>0</v>
      </c>
      <c r="Q516" s="486">
        <v>0</v>
      </c>
      <c r="R516" s="485"/>
      <c r="S516" s="486"/>
      <c r="T516" s="483">
        <f t="shared" si="40"/>
        <v>0</v>
      </c>
      <c r="U516" s="484">
        <f t="shared" si="41"/>
        <v>0</v>
      </c>
      <c r="V516" s="485">
        <v>0</v>
      </c>
      <c r="W516" s="486">
        <v>0</v>
      </c>
      <c r="X516" s="485">
        <v>0</v>
      </c>
      <c r="Y516" s="486">
        <v>0</v>
      </c>
      <c r="Z516" s="485">
        <v>0</v>
      </c>
      <c r="AA516" s="485">
        <v>0</v>
      </c>
      <c r="AB516" s="485">
        <v>0</v>
      </c>
      <c r="AC516" s="486">
        <v>0</v>
      </c>
      <c r="AD516" s="486">
        <v>0</v>
      </c>
      <c r="AE516" s="486">
        <v>0</v>
      </c>
      <c r="AF516" s="485"/>
      <c r="AG516" s="486"/>
    </row>
    <row r="517" spans="1:33" s="28" customFormat="1" ht="15" customHeight="1">
      <c r="A517" s="71" t="s">
        <v>523</v>
      </c>
      <c r="B517" s="72" t="s">
        <v>588</v>
      </c>
      <c r="C517" s="147"/>
      <c r="D517" s="74">
        <v>228547</v>
      </c>
      <c r="E517" s="74">
        <v>8</v>
      </c>
      <c r="F517" s="483">
        <f t="shared" si="37"/>
        <v>935308</v>
      </c>
      <c r="G517" s="484">
        <f t="shared" si="38"/>
        <v>957430</v>
      </c>
      <c r="H517" s="485">
        <v>706591</v>
      </c>
      <c r="I517" s="486">
        <v>713503</v>
      </c>
      <c r="J517" s="485">
        <v>52923</v>
      </c>
      <c r="K517" s="486">
        <v>58511</v>
      </c>
      <c r="L517" s="485">
        <v>175794</v>
      </c>
      <c r="M517" s="485">
        <v>0</v>
      </c>
      <c r="N517" s="485">
        <v>0</v>
      </c>
      <c r="O517" s="486">
        <v>185416</v>
      </c>
      <c r="P517" s="486">
        <v>0</v>
      </c>
      <c r="Q517" s="486">
        <v>0</v>
      </c>
      <c r="R517" s="485"/>
      <c r="S517" s="486"/>
      <c r="T517" s="483">
        <f t="shared" si="40"/>
        <v>0</v>
      </c>
      <c r="U517" s="484">
        <f t="shared" si="41"/>
        <v>0</v>
      </c>
      <c r="V517" s="485">
        <v>0</v>
      </c>
      <c r="W517" s="486">
        <v>0</v>
      </c>
      <c r="X517" s="485">
        <v>0</v>
      </c>
      <c r="Y517" s="486">
        <v>0</v>
      </c>
      <c r="Z517" s="485">
        <v>0</v>
      </c>
      <c r="AA517" s="485">
        <v>0</v>
      </c>
      <c r="AB517" s="485">
        <v>0</v>
      </c>
      <c r="AC517" s="486">
        <v>0</v>
      </c>
      <c r="AD517" s="486">
        <v>0</v>
      </c>
      <c r="AE517" s="486">
        <v>0</v>
      </c>
      <c r="AF517" s="485"/>
      <c r="AG517" s="486"/>
    </row>
    <row r="518" spans="1:33" s="28" customFormat="1" ht="15" customHeight="1">
      <c r="A518" s="71" t="s">
        <v>523</v>
      </c>
      <c r="B518" s="72" t="s">
        <v>589</v>
      </c>
      <c r="C518" s="147"/>
      <c r="D518" s="74">
        <v>225308</v>
      </c>
      <c r="E518" s="74">
        <v>8</v>
      </c>
      <c r="F518" s="483">
        <f t="shared" si="37"/>
        <v>139129</v>
      </c>
      <c r="G518" s="484">
        <f t="shared" si="38"/>
        <v>136552</v>
      </c>
      <c r="H518" s="485">
        <v>63542</v>
      </c>
      <c r="I518" s="486">
        <v>59860</v>
      </c>
      <c r="J518" s="485">
        <v>27524</v>
      </c>
      <c r="K518" s="486">
        <v>24274</v>
      </c>
      <c r="L518" s="485">
        <v>48063</v>
      </c>
      <c r="M518" s="485">
        <v>0</v>
      </c>
      <c r="N518" s="485">
        <v>0</v>
      </c>
      <c r="O518" s="486">
        <v>52418</v>
      </c>
      <c r="P518" s="486">
        <v>0</v>
      </c>
      <c r="Q518" s="486">
        <v>0</v>
      </c>
      <c r="R518" s="485"/>
      <c r="S518" s="486"/>
      <c r="T518" s="483">
        <f t="shared" si="40"/>
        <v>0</v>
      </c>
      <c r="U518" s="484">
        <f t="shared" si="41"/>
        <v>0</v>
      </c>
      <c r="V518" s="485">
        <v>0</v>
      </c>
      <c r="W518" s="486">
        <v>0</v>
      </c>
      <c r="X518" s="485">
        <v>0</v>
      </c>
      <c r="Y518" s="486">
        <v>0</v>
      </c>
      <c r="Z518" s="485">
        <v>0</v>
      </c>
      <c r="AA518" s="485">
        <v>0</v>
      </c>
      <c r="AB518" s="485">
        <v>0</v>
      </c>
      <c r="AC518" s="486">
        <v>0</v>
      </c>
      <c r="AD518" s="486">
        <v>0</v>
      </c>
      <c r="AE518" s="486">
        <v>0</v>
      </c>
      <c r="AF518" s="485"/>
      <c r="AG518" s="486"/>
    </row>
    <row r="519" spans="1:33" s="28" customFormat="1" ht="15" customHeight="1">
      <c r="A519" s="71" t="s">
        <v>523</v>
      </c>
      <c r="B519" s="72" t="s">
        <v>590</v>
      </c>
      <c r="C519" s="147" t="s">
        <v>954</v>
      </c>
      <c r="D519" s="74">
        <v>229355</v>
      </c>
      <c r="E519" s="74">
        <v>8</v>
      </c>
      <c r="F519" s="483">
        <f t="shared" si="37"/>
        <v>240434</v>
      </c>
      <c r="G519" s="484">
        <f t="shared" si="38"/>
        <v>246132</v>
      </c>
      <c r="H519" s="485">
        <v>140969</v>
      </c>
      <c r="I519" s="486">
        <v>142037</v>
      </c>
      <c r="J519" s="485">
        <v>20994</v>
      </c>
      <c r="K519" s="486">
        <v>16016</v>
      </c>
      <c r="L519" s="485">
        <v>78435</v>
      </c>
      <c r="M519" s="485">
        <v>0</v>
      </c>
      <c r="N519" s="485">
        <v>36</v>
      </c>
      <c r="O519" s="486">
        <v>88079</v>
      </c>
      <c r="P519" s="486">
        <v>0</v>
      </c>
      <c r="Q519" s="486">
        <v>0</v>
      </c>
      <c r="R519" s="485"/>
      <c r="S519" s="486"/>
      <c r="T519" s="483">
        <f t="shared" si="40"/>
        <v>0</v>
      </c>
      <c r="U519" s="484">
        <f t="shared" si="41"/>
        <v>0</v>
      </c>
      <c r="V519" s="485">
        <v>0</v>
      </c>
      <c r="W519" s="486">
        <v>0</v>
      </c>
      <c r="X519" s="485">
        <v>0</v>
      </c>
      <c r="Y519" s="486">
        <v>0</v>
      </c>
      <c r="Z519" s="485">
        <v>0</v>
      </c>
      <c r="AA519" s="485">
        <v>0</v>
      </c>
      <c r="AB519" s="485">
        <v>0</v>
      </c>
      <c r="AC519" s="486">
        <v>0</v>
      </c>
      <c r="AD519" s="486">
        <v>0</v>
      </c>
      <c r="AE519" s="486">
        <v>0</v>
      </c>
      <c r="AF519" s="485"/>
      <c r="AG519" s="486"/>
    </row>
    <row r="520" spans="1:33" s="28" customFormat="1" ht="15" customHeight="1">
      <c r="A520" s="71" t="s">
        <v>523</v>
      </c>
      <c r="B520" s="72" t="s">
        <v>591</v>
      </c>
      <c r="C520" s="147"/>
      <c r="D520" s="74">
        <v>222567</v>
      </c>
      <c r="E520" s="74">
        <v>9</v>
      </c>
      <c r="F520" s="483">
        <f t="shared" si="37"/>
        <v>105982</v>
      </c>
      <c r="G520" s="484">
        <f t="shared" si="38"/>
        <v>105186</v>
      </c>
      <c r="H520" s="485">
        <v>55163</v>
      </c>
      <c r="I520" s="486">
        <v>51630</v>
      </c>
      <c r="J520" s="485">
        <v>28496</v>
      </c>
      <c r="K520" s="486">
        <v>30863</v>
      </c>
      <c r="L520" s="485">
        <v>22323</v>
      </c>
      <c r="M520" s="485">
        <v>0</v>
      </c>
      <c r="N520" s="485">
        <v>0</v>
      </c>
      <c r="O520" s="486">
        <v>22693</v>
      </c>
      <c r="P520" s="486">
        <v>0</v>
      </c>
      <c r="Q520" s="486">
        <v>0</v>
      </c>
      <c r="R520" s="485"/>
      <c r="S520" s="486"/>
      <c r="T520" s="483">
        <f t="shared" si="40"/>
        <v>0</v>
      </c>
      <c r="U520" s="484">
        <f t="shared" si="41"/>
        <v>0</v>
      </c>
      <c r="V520" s="485">
        <v>0</v>
      </c>
      <c r="W520" s="486">
        <v>0</v>
      </c>
      <c r="X520" s="485">
        <v>0</v>
      </c>
      <c r="Y520" s="486">
        <v>0</v>
      </c>
      <c r="Z520" s="485">
        <v>0</v>
      </c>
      <c r="AA520" s="485">
        <v>0</v>
      </c>
      <c r="AB520" s="485">
        <v>0</v>
      </c>
      <c r="AC520" s="486">
        <v>0</v>
      </c>
      <c r="AD520" s="486">
        <v>0</v>
      </c>
      <c r="AE520" s="486">
        <v>0</v>
      </c>
      <c r="AF520" s="485"/>
      <c r="AG520" s="486"/>
    </row>
    <row r="521" spans="1:33" s="28" customFormat="1" ht="15" customHeight="1">
      <c r="A521" s="71" t="s">
        <v>523</v>
      </c>
      <c r="B521" s="72" t="s">
        <v>592</v>
      </c>
      <c r="C521" s="147"/>
      <c r="D521" s="74">
        <v>222822</v>
      </c>
      <c r="E521" s="74">
        <v>9</v>
      </c>
      <c r="F521" s="483">
        <f t="shared" si="37"/>
        <v>93331</v>
      </c>
      <c r="G521" s="484">
        <f t="shared" si="38"/>
        <v>87794</v>
      </c>
      <c r="H521" s="485">
        <v>49215</v>
      </c>
      <c r="I521" s="486">
        <v>43959</v>
      </c>
      <c r="J521" s="485">
        <v>8390</v>
      </c>
      <c r="K521" s="486">
        <v>7351</v>
      </c>
      <c r="L521" s="485">
        <v>27742</v>
      </c>
      <c r="M521" s="485">
        <v>7984</v>
      </c>
      <c r="N521" s="485">
        <v>0</v>
      </c>
      <c r="O521" s="486">
        <v>29756</v>
      </c>
      <c r="P521" s="486">
        <v>6456</v>
      </c>
      <c r="Q521" s="486">
        <v>272</v>
      </c>
      <c r="R521" s="485"/>
      <c r="S521" s="486"/>
      <c r="T521" s="483">
        <f t="shared" si="40"/>
        <v>0</v>
      </c>
      <c r="U521" s="484">
        <f t="shared" si="41"/>
        <v>0</v>
      </c>
      <c r="V521" s="485">
        <v>0</v>
      </c>
      <c r="W521" s="486">
        <v>0</v>
      </c>
      <c r="X521" s="485">
        <v>0</v>
      </c>
      <c r="Y521" s="486">
        <v>0</v>
      </c>
      <c r="Z521" s="485">
        <v>0</v>
      </c>
      <c r="AA521" s="485">
        <v>0</v>
      </c>
      <c r="AB521" s="485">
        <v>0</v>
      </c>
      <c r="AC521" s="486">
        <v>0</v>
      </c>
      <c r="AD521" s="486">
        <v>0</v>
      </c>
      <c r="AE521" s="486">
        <v>0</v>
      </c>
      <c r="AF521" s="485"/>
      <c r="AG521" s="486"/>
    </row>
    <row r="522" spans="1:33" s="28" customFormat="1" ht="15" customHeight="1">
      <c r="A522" s="71" t="s">
        <v>523</v>
      </c>
      <c r="B522" s="72" t="s">
        <v>593</v>
      </c>
      <c r="C522" s="147"/>
      <c r="D522" s="74">
        <v>223773</v>
      </c>
      <c r="E522" s="74">
        <v>9</v>
      </c>
      <c r="F522" s="483">
        <f t="shared" si="37"/>
        <v>114039</v>
      </c>
      <c r="G522" s="484">
        <f t="shared" si="38"/>
        <v>126807</v>
      </c>
      <c r="H522" s="485">
        <v>50132</v>
      </c>
      <c r="I522" s="486">
        <v>44977</v>
      </c>
      <c r="J522" s="485">
        <v>6332</v>
      </c>
      <c r="K522" s="486">
        <v>11826</v>
      </c>
      <c r="L522" s="485">
        <v>57575</v>
      </c>
      <c r="M522" s="485">
        <v>0</v>
      </c>
      <c r="N522" s="485">
        <v>0</v>
      </c>
      <c r="O522" s="486">
        <v>70004</v>
      </c>
      <c r="P522" s="486">
        <v>0</v>
      </c>
      <c r="Q522" s="486">
        <v>0</v>
      </c>
      <c r="R522" s="485"/>
      <c r="S522" s="486"/>
      <c r="T522" s="483">
        <f t="shared" si="40"/>
        <v>0</v>
      </c>
      <c r="U522" s="484">
        <f t="shared" si="41"/>
        <v>0</v>
      </c>
      <c r="V522" s="485">
        <v>0</v>
      </c>
      <c r="W522" s="486">
        <v>0</v>
      </c>
      <c r="X522" s="485">
        <v>0</v>
      </c>
      <c r="Y522" s="486">
        <v>0</v>
      </c>
      <c r="Z522" s="485">
        <v>0</v>
      </c>
      <c r="AA522" s="485">
        <v>0</v>
      </c>
      <c r="AB522" s="485">
        <v>0</v>
      </c>
      <c r="AC522" s="486">
        <v>0</v>
      </c>
      <c r="AD522" s="486">
        <v>0</v>
      </c>
      <c r="AE522" s="486">
        <v>0</v>
      </c>
      <c r="AF522" s="485"/>
      <c r="AG522" s="486"/>
    </row>
    <row r="523" spans="1:33" s="28" customFormat="1" ht="15" customHeight="1">
      <c r="A523" s="71" t="s">
        <v>523</v>
      </c>
      <c r="B523" s="72" t="s">
        <v>594</v>
      </c>
      <c r="C523" s="147"/>
      <c r="D523" s="74">
        <v>223898</v>
      </c>
      <c r="E523" s="74">
        <v>9</v>
      </c>
      <c r="F523" s="483">
        <f t="shared" si="37"/>
        <v>65984</v>
      </c>
      <c r="G523" s="484">
        <f t="shared" si="38"/>
        <v>69069</v>
      </c>
      <c r="H523" s="485">
        <v>10442</v>
      </c>
      <c r="I523" s="486">
        <v>10474</v>
      </c>
      <c r="J523" s="485">
        <v>30936</v>
      </c>
      <c r="K523" s="486">
        <v>30533</v>
      </c>
      <c r="L523" s="485">
        <v>24137</v>
      </c>
      <c r="M523" s="485">
        <v>469</v>
      </c>
      <c r="N523" s="485">
        <v>0</v>
      </c>
      <c r="O523" s="486">
        <v>27556</v>
      </c>
      <c r="P523" s="486">
        <v>506</v>
      </c>
      <c r="Q523" s="486">
        <v>0</v>
      </c>
      <c r="R523" s="485"/>
      <c r="S523" s="486"/>
      <c r="T523" s="483">
        <f t="shared" si="40"/>
        <v>0</v>
      </c>
      <c r="U523" s="484">
        <f t="shared" si="41"/>
        <v>0</v>
      </c>
      <c r="V523" s="485">
        <v>0</v>
      </c>
      <c r="W523" s="486">
        <v>0</v>
      </c>
      <c r="X523" s="485">
        <v>0</v>
      </c>
      <c r="Y523" s="486">
        <v>0</v>
      </c>
      <c r="Z523" s="485">
        <v>0</v>
      </c>
      <c r="AA523" s="485">
        <v>0</v>
      </c>
      <c r="AB523" s="485">
        <v>0</v>
      </c>
      <c r="AC523" s="486">
        <v>0</v>
      </c>
      <c r="AD523" s="486">
        <v>0</v>
      </c>
      <c r="AE523" s="486">
        <v>0</v>
      </c>
      <c r="AF523" s="485"/>
      <c r="AG523" s="486"/>
    </row>
    <row r="524" spans="1:33" s="28" customFormat="1" ht="15" customHeight="1">
      <c r="A524" s="71" t="s">
        <v>523</v>
      </c>
      <c r="B524" s="72" t="s">
        <v>595</v>
      </c>
      <c r="C524" s="147"/>
      <c r="D524" s="74">
        <v>223320</v>
      </c>
      <c r="E524" s="74">
        <v>9</v>
      </c>
      <c r="F524" s="483">
        <f t="shared" si="37"/>
        <v>82546</v>
      </c>
      <c r="G524" s="484">
        <f t="shared" si="38"/>
        <v>79666</v>
      </c>
      <c r="H524" s="485">
        <v>16280</v>
      </c>
      <c r="I524" s="486">
        <v>15626</v>
      </c>
      <c r="J524" s="485">
        <v>27741</v>
      </c>
      <c r="K524" s="486">
        <v>26657</v>
      </c>
      <c r="L524" s="485">
        <v>27574</v>
      </c>
      <c r="M524" s="485">
        <v>7079</v>
      </c>
      <c r="N524" s="485">
        <v>3872</v>
      </c>
      <c r="O524" s="486">
        <v>30703</v>
      </c>
      <c r="P524" s="486">
        <v>4712</v>
      </c>
      <c r="Q524" s="486">
        <v>1968</v>
      </c>
      <c r="R524" s="485"/>
      <c r="S524" s="486"/>
      <c r="T524" s="483">
        <f t="shared" si="40"/>
        <v>0</v>
      </c>
      <c r="U524" s="484">
        <f t="shared" si="41"/>
        <v>0</v>
      </c>
      <c r="V524" s="485">
        <v>0</v>
      </c>
      <c r="W524" s="486">
        <v>0</v>
      </c>
      <c r="X524" s="485">
        <v>0</v>
      </c>
      <c r="Y524" s="486">
        <v>0</v>
      </c>
      <c r="Z524" s="485">
        <v>0</v>
      </c>
      <c r="AA524" s="485">
        <v>0</v>
      </c>
      <c r="AB524" s="485">
        <v>0</v>
      </c>
      <c r="AC524" s="486">
        <v>0</v>
      </c>
      <c r="AD524" s="486">
        <v>0</v>
      </c>
      <c r="AE524" s="486">
        <v>0</v>
      </c>
      <c r="AF524" s="485"/>
      <c r="AG524" s="486"/>
    </row>
    <row r="525" spans="1:33" s="28" customFormat="1" ht="15" customHeight="1">
      <c r="A525" s="71" t="s">
        <v>523</v>
      </c>
      <c r="B525" s="72" t="s">
        <v>596</v>
      </c>
      <c r="C525" s="147"/>
      <c r="D525" s="74">
        <v>226408</v>
      </c>
      <c r="E525" s="74">
        <v>9</v>
      </c>
      <c r="F525" s="483">
        <f t="shared" si="37"/>
        <v>80759</v>
      </c>
      <c r="G525" s="484">
        <f t="shared" si="38"/>
        <v>83649</v>
      </c>
      <c r="H525" s="485">
        <v>53258</v>
      </c>
      <c r="I525" s="486">
        <v>52268</v>
      </c>
      <c r="J525" s="485">
        <v>7157</v>
      </c>
      <c r="K525" s="486">
        <v>7129</v>
      </c>
      <c r="L525" s="485">
        <v>20344</v>
      </c>
      <c r="M525" s="485">
        <v>0</v>
      </c>
      <c r="N525" s="485">
        <v>0</v>
      </c>
      <c r="O525" s="486">
        <v>24252</v>
      </c>
      <c r="P525" s="486">
        <v>0</v>
      </c>
      <c r="Q525" s="486">
        <v>0</v>
      </c>
      <c r="R525" s="485"/>
      <c r="S525" s="486"/>
      <c r="T525" s="483">
        <f t="shared" si="40"/>
        <v>0</v>
      </c>
      <c r="U525" s="484">
        <f t="shared" si="41"/>
        <v>0</v>
      </c>
      <c r="V525" s="485">
        <v>0</v>
      </c>
      <c r="W525" s="486">
        <v>0</v>
      </c>
      <c r="X525" s="485">
        <v>0</v>
      </c>
      <c r="Y525" s="486">
        <v>0</v>
      </c>
      <c r="Z525" s="485">
        <v>0</v>
      </c>
      <c r="AA525" s="485">
        <v>0</v>
      </c>
      <c r="AB525" s="485">
        <v>0</v>
      </c>
      <c r="AC525" s="486">
        <v>0</v>
      </c>
      <c r="AD525" s="486">
        <v>0</v>
      </c>
      <c r="AE525" s="486">
        <v>0</v>
      </c>
      <c r="AF525" s="485"/>
      <c r="AG525" s="486"/>
    </row>
    <row r="526" spans="1:33" s="28" customFormat="1" ht="15" customHeight="1">
      <c r="A526" s="71" t="s">
        <v>523</v>
      </c>
      <c r="B526" s="72" t="s">
        <v>597</v>
      </c>
      <c r="C526" s="147"/>
      <c r="D526" s="74">
        <v>225070</v>
      </c>
      <c r="E526" s="74">
        <v>9</v>
      </c>
      <c r="F526" s="483">
        <f t="shared" si="37"/>
        <v>82555</v>
      </c>
      <c r="G526" s="484">
        <f t="shared" si="38"/>
        <v>82401</v>
      </c>
      <c r="H526" s="485">
        <v>46632</v>
      </c>
      <c r="I526" s="486">
        <v>41561</v>
      </c>
      <c r="J526" s="485">
        <v>2161</v>
      </c>
      <c r="K526" s="486">
        <v>0</v>
      </c>
      <c r="L526" s="485">
        <v>31671</v>
      </c>
      <c r="M526" s="485">
        <v>0</v>
      </c>
      <c r="N526" s="485">
        <v>2091</v>
      </c>
      <c r="O526" s="486">
        <v>40777</v>
      </c>
      <c r="P526" s="486">
        <v>0</v>
      </c>
      <c r="Q526" s="486">
        <v>63</v>
      </c>
      <c r="R526" s="485"/>
      <c r="S526" s="486"/>
      <c r="T526" s="483">
        <f t="shared" si="40"/>
        <v>0</v>
      </c>
      <c r="U526" s="484">
        <f t="shared" si="41"/>
        <v>0</v>
      </c>
      <c r="V526" s="485">
        <v>0</v>
      </c>
      <c r="W526" s="486">
        <v>0</v>
      </c>
      <c r="X526" s="485">
        <v>0</v>
      </c>
      <c r="Y526" s="486">
        <v>0</v>
      </c>
      <c r="Z526" s="485">
        <v>0</v>
      </c>
      <c r="AA526" s="485">
        <v>0</v>
      </c>
      <c r="AB526" s="485">
        <v>0</v>
      </c>
      <c r="AC526" s="486">
        <v>0</v>
      </c>
      <c r="AD526" s="486">
        <v>0</v>
      </c>
      <c r="AE526" s="486">
        <v>0</v>
      </c>
      <c r="AF526" s="485"/>
      <c r="AG526" s="486"/>
    </row>
    <row r="527" spans="1:33" s="28" customFormat="1" ht="15" customHeight="1">
      <c r="A527" s="71" t="s">
        <v>523</v>
      </c>
      <c r="B527" s="72" t="s">
        <v>598</v>
      </c>
      <c r="C527" s="147"/>
      <c r="D527" s="74">
        <v>225371</v>
      </c>
      <c r="E527" s="74">
        <v>9</v>
      </c>
      <c r="F527" s="483">
        <f t="shared" si="37"/>
        <v>83420</v>
      </c>
      <c r="G527" s="484">
        <f t="shared" si="38"/>
        <v>85264</v>
      </c>
      <c r="H527" s="485">
        <v>12207</v>
      </c>
      <c r="I527" s="486">
        <v>11392</v>
      </c>
      <c r="J527" s="485">
        <v>31819</v>
      </c>
      <c r="K527" s="486">
        <v>31680</v>
      </c>
      <c r="L527" s="485">
        <v>38278</v>
      </c>
      <c r="M527" s="485">
        <v>1116</v>
      </c>
      <c r="N527" s="485">
        <v>0</v>
      </c>
      <c r="O527" s="486">
        <v>40994</v>
      </c>
      <c r="P527" s="486">
        <v>1198</v>
      </c>
      <c r="Q527" s="486">
        <v>0</v>
      </c>
      <c r="R527" s="485"/>
      <c r="S527" s="486"/>
      <c r="T527" s="483">
        <f t="shared" si="40"/>
        <v>0</v>
      </c>
      <c r="U527" s="484">
        <f t="shared" si="41"/>
        <v>0</v>
      </c>
      <c r="V527" s="485">
        <v>0</v>
      </c>
      <c r="W527" s="486">
        <v>0</v>
      </c>
      <c r="X527" s="485">
        <v>0</v>
      </c>
      <c r="Y527" s="486">
        <v>0</v>
      </c>
      <c r="Z527" s="485">
        <v>0</v>
      </c>
      <c r="AA527" s="485">
        <v>0</v>
      </c>
      <c r="AB527" s="485">
        <v>0</v>
      </c>
      <c r="AC527" s="486">
        <v>0</v>
      </c>
      <c r="AD527" s="486">
        <v>0</v>
      </c>
      <c r="AE527" s="486">
        <v>0</v>
      </c>
      <c r="AF527" s="485"/>
      <c r="AG527" s="486"/>
    </row>
    <row r="528" spans="1:33" s="28" customFormat="1" ht="15" customHeight="1">
      <c r="A528" s="71" t="s">
        <v>523</v>
      </c>
      <c r="B528" s="72" t="s">
        <v>599</v>
      </c>
      <c r="C528" s="147"/>
      <c r="D528" s="74">
        <v>225520</v>
      </c>
      <c r="E528" s="74">
        <v>9</v>
      </c>
      <c r="F528" s="483">
        <f t="shared" si="37"/>
        <v>64852</v>
      </c>
      <c r="G528" s="484">
        <f t="shared" si="38"/>
        <v>66207</v>
      </c>
      <c r="H528" s="485">
        <v>13488</v>
      </c>
      <c r="I528" s="486">
        <v>12721</v>
      </c>
      <c r="J528" s="485">
        <v>25719</v>
      </c>
      <c r="K528" s="486">
        <v>24752</v>
      </c>
      <c r="L528" s="485">
        <v>24861</v>
      </c>
      <c r="M528" s="485">
        <v>784</v>
      </c>
      <c r="N528" s="485">
        <v>0</v>
      </c>
      <c r="O528" s="486">
        <v>27187</v>
      </c>
      <c r="P528" s="486">
        <v>1547</v>
      </c>
      <c r="Q528" s="486">
        <v>0</v>
      </c>
      <c r="R528" s="485"/>
      <c r="S528" s="486"/>
      <c r="T528" s="483">
        <f t="shared" si="40"/>
        <v>0</v>
      </c>
      <c r="U528" s="484">
        <f t="shared" si="41"/>
        <v>0</v>
      </c>
      <c r="V528" s="485">
        <v>0</v>
      </c>
      <c r="W528" s="486">
        <v>0</v>
      </c>
      <c r="X528" s="485">
        <v>0</v>
      </c>
      <c r="Y528" s="486">
        <v>0</v>
      </c>
      <c r="Z528" s="485">
        <v>0</v>
      </c>
      <c r="AA528" s="485">
        <v>0</v>
      </c>
      <c r="AB528" s="485">
        <v>0</v>
      </c>
      <c r="AC528" s="486">
        <v>0</v>
      </c>
      <c r="AD528" s="486">
        <v>0</v>
      </c>
      <c r="AE528" s="486">
        <v>0</v>
      </c>
      <c r="AF528" s="485"/>
      <c r="AG528" s="486"/>
    </row>
    <row r="529" spans="1:33" s="28" customFormat="1" ht="15" customHeight="1">
      <c r="A529" s="71" t="s">
        <v>523</v>
      </c>
      <c r="B529" s="72" t="s">
        <v>600</v>
      </c>
      <c r="C529" s="147"/>
      <c r="D529" s="74">
        <v>226019</v>
      </c>
      <c r="E529" s="74">
        <v>9</v>
      </c>
      <c r="F529" s="483">
        <f t="shared" si="37"/>
        <v>111902</v>
      </c>
      <c r="G529" s="484">
        <f t="shared" si="38"/>
        <v>108532</v>
      </c>
      <c r="H529" s="485">
        <v>60846</v>
      </c>
      <c r="I529" s="486">
        <v>55512</v>
      </c>
      <c r="J529" s="485">
        <v>31203</v>
      </c>
      <c r="K529" s="486">
        <v>31056</v>
      </c>
      <c r="L529" s="485">
        <v>19205</v>
      </c>
      <c r="M529" s="485">
        <v>648</v>
      </c>
      <c r="N529" s="485">
        <v>0</v>
      </c>
      <c r="O529" s="486">
        <v>21928</v>
      </c>
      <c r="P529" s="486">
        <v>36</v>
      </c>
      <c r="Q529" s="486">
        <v>0</v>
      </c>
      <c r="R529" s="485"/>
      <c r="S529" s="486"/>
      <c r="T529" s="483">
        <f t="shared" si="40"/>
        <v>0</v>
      </c>
      <c r="U529" s="484">
        <f t="shared" si="41"/>
        <v>0</v>
      </c>
      <c r="V529" s="485">
        <v>0</v>
      </c>
      <c r="W529" s="486">
        <v>0</v>
      </c>
      <c r="X529" s="485">
        <v>0</v>
      </c>
      <c r="Y529" s="486">
        <v>0</v>
      </c>
      <c r="Z529" s="485">
        <v>0</v>
      </c>
      <c r="AA529" s="485">
        <v>0</v>
      </c>
      <c r="AB529" s="485">
        <v>0</v>
      </c>
      <c r="AC529" s="486">
        <v>0</v>
      </c>
      <c r="AD529" s="486">
        <v>0</v>
      </c>
      <c r="AE529" s="486">
        <v>0</v>
      </c>
      <c r="AF529" s="485"/>
      <c r="AG529" s="486"/>
    </row>
    <row r="530" spans="1:33" s="28" customFormat="1" ht="15" customHeight="1">
      <c r="A530" s="71" t="s">
        <v>523</v>
      </c>
      <c r="B530" s="72" t="s">
        <v>601</v>
      </c>
      <c r="C530" s="147"/>
      <c r="D530" s="74">
        <v>441760</v>
      </c>
      <c r="E530" s="151">
        <v>9</v>
      </c>
      <c r="F530" s="483">
        <f t="shared" si="37"/>
        <v>59131</v>
      </c>
      <c r="G530" s="484">
        <f t="shared" si="38"/>
        <v>61285</v>
      </c>
      <c r="H530" s="485">
        <v>46185</v>
      </c>
      <c r="I530" s="486">
        <v>45408</v>
      </c>
      <c r="J530" s="485">
        <v>3984</v>
      </c>
      <c r="K530" s="486">
        <v>5304</v>
      </c>
      <c r="L530" s="485">
        <v>8962</v>
      </c>
      <c r="M530" s="485">
        <v>0</v>
      </c>
      <c r="N530" s="485">
        <v>0</v>
      </c>
      <c r="O530" s="486">
        <v>10540</v>
      </c>
      <c r="P530" s="486">
        <v>33</v>
      </c>
      <c r="Q530" s="486">
        <v>0</v>
      </c>
      <c r="R530" s="485"/>
      <c r="S530" s="486"/>
      <c r="T530" s="483">
        <f t="shared" si="40"/>
        <v>0</v>
      </c>
      <c r="U530" s="484">
        <f t="shared" si="41"/>
        <v>0</v>
      </c>
      <c r="V530" s="485">
        <v>0</v>
      </c>
      <c r="W530" s="486">
        <v>0</v>
      </c>
      <c r="X530" s="485">
        <v>0</v>
      </c>
      <c r="Y530" s="486">
        <v>0</v>
      </c>
      <c r="Z530" s="485">
        <v>0</v>
      </c>
      <c r="AA530" s="485">
        <v>0</v>
      </c>
      <c r="AB530" s="485">
        <v>0</v>
      </c>
      <c r="AC530" s="486">
        <v>0</v>
      </c>
      <c r="AD530" s="486">
        <v>0</v>
      </c>
      <c r="AE530" s="486">
        <v>0</v>
      </c>
      <c r="AF530" s="485"/>
      <c r="AG530" s="486"/>
    </row>
    <row r="531" spans="1:33" s="28" customFormat="1" ht="15" customHeight="1">
      <c r="A531" s="117" t="s">
        <v>523</v>
      </c>
      <c r="B531" s="72" t="s">
        <v>603</v>
      </c>
      <c r="C531" s="147"/>
      <c r="D531" s="74">
        <v>226204</v>
      </c>
      <c r="E531" s="74">
        <v>9</v>
      </c>
      <c r="F531" s="483">
        <f t="shared" si="37"/>
        <v>152285</v>
      </c>
      <c r="G531" s="484">
        <f t="shared" si="38"/>
        <v>146001</v>
      </c>
      <c r="H531" s="485">
        <v>83372</v>
      </c>
      <c r="I531" s="486">
        <v>74783</v>
      </c>
      <c r="J531" s="485">
        <v>44840</v>
      </c>
      <c r="K531" s="486">
        <v>42107</v>
      </c>
      <c r="L531" s="485">
        <v>24073</v>
      </c>
      <c r="M531" s="485">
        <v>0</v>
      </c>
      <c r="N531" s="485">
        <v>0</v>
      </c>
      <c r="O531" s="486">
        <v>29111</v>
      </c>
      <c r="P531" s="486">
        <v>0</v>
      </c>
      <c r="Q531" s="486">
        <v>0</v>
      </c>
      <c r="R531" s="485"/>
      <c r="S531" s="486"/>
      <c r="T531" s="483">
        <f t="shared" si="40"/>
        <v>0</v>
      </c>
      <c r="U531" s="484">
        <f t="shared" si="41"/>
        <v>0</v>
      </c>
      <c r="V531" s="485">
        <v>0</v>
      </c>
      <c r="W531" s="486">
        <v>0</v>
      </c>
      <c r="X531" s="485">
        <v>0</v>
      </c>
      <c r="Y531" s="486">
        <v>0</v>
      </c>
      <c r="Z531" s="485">
        <v>0</v>
      </c>
      <c r="AA531" s="485">
        <v>0</v>
      </c>
      <c r="AB531" s="485">
        <v>0</v>
      </c>
      <c r="AC531" s="486">
        <v>0</v>
      </c>
      <c r="AD531" s="486">
        <v>0</v>
      </c>
      <c r="AE531" s="486">
        <v>0</v>
      </c>
      <c r="AF531" s="485"/>
      <c r="AG531" s="486"/>
    </row>
    <row r="532" spans="1:33" s="28" customFormat="1" ht="15" customHeight="1">
      <c r="A532" s="117" t="s">
        <v>523</v>
      </c>
      <c r="B532" s="150" t="s">
        <v>604</v>
      </c>
      <c r="C532" s="118" t="s">
        <v>977</v>
      </c>
      <c r="D532" s="74">
        <v>226930</v>
      </c>
      <c r="E532" s="506">
        <v>8</v>
      </c>
      <c r="F532" s="483">
        <f t="shared" si="37"/>
        <v>153499</v>
      </c>
      <c r="G532" s="484">
        <f t="shared" si="38"/>
        <v>176289</v>
      </c>
      <c r="H532" s="485">
        <v>97225</v>
      </c>
      <c r="I532" s="486">
        <v>104611</v>
      </c>
      <c r="J532" s="485">
        <v>5481</v>
      </c>
      <c r="K532" s="486">
        <v>14592</v>
      </c>
      <c r="L532" s="485">
        <v>50793</v>
      </c>
      <c r="M532" s="485">
        <v>0</v>
      </c>
      <c r="N532" s="485">
        <v>0</v>
      </c>
      <c r="O532" s="486">
        <v>57086</v>
      </c>
      <c r="P532" s="486">
        <v>0</v>
      </c>
      <c r="Q532" s="486">
        <v>0</v>
      </c>
      <c r="R532" s="485"/>
      <c r="S532" s="486"/>
      <c r="T532" s="483">
        <f t="shared" si="40"/>
        <v>0</v>
      </c>
      <c r="U532" s="484">
        <f t="shared" si="41"/>
        <v>0</v>
      </c>
      <c r="V532" s="485">
        <v>0</v>
      </c>
      <c r="W532" s="486">
        <v>0</v>
      </c>
      <c r="X532" s="485">
        <v>0</v>
      </c>
      <c r="Y532" s="486">
        <v>0</v>
      </c>
      <c r="Z532" s="485">
        <v>0</v>
      </c>
      <c r="AA532" s="485">
        <v>0</v>
      </c>
      <c r="AB532" s="485">
        <v>0</v>
      </c>
      <c r="AC532" s="486">
        <v>0</v>
      </c>
      <c r="AD532" s="486">
        <v>0</v>
      </c>
      <c r="AE532" s="486">
        <v>0</v>
      </c>
      <c r="AF532" s="485"/>
      <c r="AG532" s="486"/>
    </row>
    <row r="533" spans="1:33" s="28" customFormat="1" ht="15" customHeight="1">
      <c r="A533" s="117" t="s">
        <v>523</v>
      </c>
      <c r="B533" s="72" t="s">
        <v>605</v>
      </c>
      <c r="C533" s="73"/>
      <c r="D533" s="74">
        <v>227225</v>
      </c>
      <c r="E533" s="74">
        <v>9</v>
      </c>
      <c r="F533" s="483">
        <f t="shared" si="37"/>
        <v>63489</v>
      </c>
      <c r="G533" s="484">
        <f t="shared" si="38"/>
        <v>62932</v>
      </c>
      <c r="H533" s="485">
        <v>32177</v>
      </c>
      <c r="I533" s="486">
        <v>28800</v>
      </c>
      <c r="J533" s="485">
        <v>3294</v>
      </c>
      <c r="K533" s="486">
        <v>3646</v>
      </c>
      <c r="L533" s="485">
        <v>28018</v>
      </c>
      <c r="M533" s="485">
        <v>0</v>
      </c>
      <c r="N533" s="485">
        <v>0</v>
      </c>
      <c r="O533" s="486">
        <v>30486</v>
      </c>
      <c r="P533" s="486">
        <v>0</v>
      </c>
      <c r="Q533" s="486">
        <v>0</v>
      </c>
      <c r="R533" s="485"/>
      <c r="S533" s="486"/>
      <c r="T533" s="483">
        <f t="shared" si="40"/>
        <v>0</v>
      </c>
      <c r="U533" s="484">
        <f t="shared" si="41"/>
        <v>0</v>
      </c>
      <c r="V533" s="485">
        <v>0</v>
      </c>
      <c r="W533" s="486">
        <v>0</v>
      </c>
      <c r="X533" s="485">
        <v>0</v>
      </c>
      <c r="Y533" s="486">
        <v>0</v>
      </c>
      <c r="Z533" s="485">
        <v>0</v>
      </c>
      <c r="AA533" s="485">
        <v>0</v>
      </c>
      <c r="AB533" s="485">
        <v>0</v>
      </c>
      <c r="AC533" s="486">
        <v>0</v>
      </c>
      <c r="AD533" s="486">
        <v>0</v>
      </c>
      <c r="AE533" s="486">
        <v>0</v>
      </c>
      <c r="AF533" s="485"/>
      <c r="AG533" s="486"/>
    </row>
    <row r="534" spans="1:33" s="28" customFormat="1" ht="12.75" customHeight="1">
      <c r="A534" s="117" t="s">
        <v>523</v>
      </c>
      <c r="B534" s="72" t="s">
        <v>606</v>
      </c>
      <c r="C534" s="73"/>
      <c r="D534" s="74">
        <v>227304</v>
      </c>
      <c r="E534" s="74">
        <v>9</v>
      </c>
      <c r="F534" s="483">
        <f t="shared" si="37"/>
        <v>117064</v>
      </c>
      <c r="G534" s="484">
        <f t="shared" si="38"/>
        <v>121094</v>
      </c>
      <c r="H534" s="485">
        <v>59473</v>
      </c>
      <c r="I534" s="486">
        <v>57160</v>
      </c>
      <c r="J534" s="485">
        <v>9644</v>
      </c>
      <c r="K534" s="486">
        <v>10692</v>
      </c>
      <c r="L534" s="485">
        <v>47947</v>
      </c>
      <c r="M534" s="485">
        <v>0</v>
      </c>
      <c r="N534" s="485">
        <v>0</v>
      </c>
      <c r="O534" s="486">
        <v>53242</v>
      </c>
      <c r="P534" s="486">
        <v>0</v>
      </c>
      <c r="Q534" s="486">
        <v>0</v>
      </c>
      <c r="R534" s="485"/>
      <c r="S534" s="486"/>
      <c r="T534" s="483">
        <f t="shared" si="40"/>
        <v>0</v>
      </c>
      <c r="U534" s="484">
        <f t="shared" si="41"/>
        <v>0</v>
      </c>
      <c r="V534" s="485">
        <v>0</v>
      </c>
      <c r="W534" s="486">
        <v>0</v>
      </c>
      <c r="X534" s="485">
        <v>0</v>
      </c>
      <c r="Y534" s="486">
        <v>0</v>
      </c>
      <c r="Z534" s="485">
        <v>0</v>
      </c>
      <c r="AA534" s="485">
        <v>0</v>
      </c>
      <c r="AB534" s="485">
        <v>0</v>
      </c>
      <c r="AC534" s="486">
        <v>0</v>
      </c>
      <c r="AD534" s="486">
        <v>0</v>
      </c>
      <c r="AE534" s="486">
        <v>0</v>
      </c>
      <c r="AF534" s="485"/>
      <c r="AG534" s="486"/>
    </row>
    <row r="535" spans="1:33">
      <c r="A535" s="117" t="s">
        <v>523</v>
      </c>
      <c r="B535" s="72" t="s">
        <v>607</v>
      </c>
      <c r="C535" s="73"/>
      <c r="D535" s="74">
        <v>227401</v>
      </c>
      <c r="E535" s="74">
        <v>9</v>
      </c>
      <c r="F535" s="483">
        <f t="shared" si="37"/>
        <v>94661</v>
      </c>
      <c r="G535" s="484">
        <f t="shared" si="38"/>
        <v>97068</v>
      </c>
      <c r="H535" s="485">
        <v>21690</v>
      </c>
      <c r="I535" s="486">
        <v>21058</v>
      </c>
      <c r="J535" s="485">
        <v>26502</v>
      </c>
      <c r="K535" s="486">
        <v>23772</v>
      </c>
      <c r="L535" s="485">
        <v>42325</v>
      </c>
      <c r="M535" s="485">
        <v>4144</v>
      </c>
      <c r="N535" s="485">
        <v>0</v>
      </c>
      <c r="O535" s="486">
        <v>45279</v>
      </c>
      <c r="P535" s="486">
        <v>6959</v>
      </c>
      <c r="Q535" s="486">
        <v>0</v>
      </c>
      <c r="R535" s="485"/>
      <c r="S535" s="486"/>
      <c r="T535" s="483">
        <f t="shared" si="40"/>
        <v>0</v>
      </c>
      <c r="U535" s="484">
        <f t="shared" si="41"/>
        <v>0</v>
      </c>
      <c r="V535" s="485">
        <v>0</v>
      </c>
      <c r="W535" s="486">
        <v>0</v>
      </c>
      <c r="X535" s="485">
        <v>0</v>
      </c>
      <c r="Y535" s="486">
        <v>0</v>
      </c>
      <c r="Z535" s="485">
        <v>0</v>
      </c>
      <c r="AA535" s="485">
        <v>0</v>
      </c>
      <c r="AB535" s="485">
        <v>0</v>
      </c>
      <c r="AC535" s="486">
        <v>0</v>
      </c>
      <c r="AD535" s="486">
        <v>0</v>
      </c>
      <c r="AE535" s="486">
        <v>0</v>
      </c>
      <c r="AF535" s="485"/>
      <c r="AG535" s="486"/>
    </row>
    <row r="536" spans="1:33" s="28" customFormat="1" ht="12.75" customHeight="1">
      <c r="A536" s="117" t="s">
        <v>523</v>
      </c>
      <c r="B536" s="72" t="s">
        <v>608</v>
      </c>
      <c r="C536" s="73"/>
      <c r="D536" s="74">
        <v>228316</v>
      </c>
      <c r="E536" s="74">
        <v>9</v>
      </c>
      <c r="F536" s="483">
        <f t="shared" si="37"/>
        <v>112056</v>
      </c>
      <c r="G536" s="484">
        <f t="shared" si="38"/>
        <v>117433</v>
      </c>
      <c r="H536" s="485">
        <v>19122</v>
      </c>
      <c r="I536" s="486">
        <v>19406</v>
      </c>
      <c r="J536" s="485">
        <v>61308</v>
      </c>
      <c r="K536" s="486">
        <v>63657</v>
      </c>
      <c r="L536" s="485">
        <v>14375</v>
      </c>
      <c r="M536" s="485">
        <v>17251</v>
      </c>
      <c r="N536" s="485">
        <v>0</v>
      </c>
      <c r="O536" s="486">
        <v>17379</v>
      </c>
      <c r="P536" s="486">
        <v>16991</v>
      </c>
      <c r="Q536" s="486">
        <v>0</v>
      </c>
      <c r="R536" s="485"/>
      <c r="S536" s="486"/>
      <c r="T536" s="483">
        <f t="shared" si="40"/>
        <v>0</v>
      </c>
      <c r="U536" s="484">
        <f t="shared" si="41"/>
        <v>0</v>
      </c>
      <c r="V536" s="485">
        <v>0</v>
      </c>
      <c r="W536" s="486">
        <v>0</v>
      </c>
      <c r="X536" s="485">
        <v>0</v>
      </c>
      <c r="Y536" s="486">
        <v>0</v>
      </c>
      <c r="Z536" s="485">
        <v>0</v>
      </c>
      <c r="AA536" s="485">
        <v>0</v>
      </c>
      <c r="AB536" s="485">
        <v>0</v>
      </c>
      <c r="AC536" s="486">
        <v>0</v>
      </c>
      <c r="AD536" s="486">
        <v>0</v>
      </c>
      <c r="AE536" s="486">
        <v>0</v>
      </c>
      <c r="AF536" s="485"/>
      <c r="AG536" s="486"/>
    </row>
    <row r="537" spans="1:33" s="28" customFormat="1" ht="12.75" customHeight="1">
      <c r="A537" s="117" t="s">
        <v>523</v>
      </c>
      <c r="B537" s="72" t="s">
        <v>609</v>
      </c>
      <c r="C537" s="73"/>
      <c r="D537" s="74">
        <v>228608</v>
      </c>
      <c r="E537" s="74">
        <v>9</v>
      </c>
      <c r="F537" s="483">
        <f t="shared" si="37"/>
        <v>97228</v>
      </c>
      <c r="G537" s="484">
        <f t="shared" si="38"/>
        <v>96850</v>
      </c>
      <c r="H537" s="485">
        <v>50513</v>
      </c>
      <c r="I537" s="486">
        <v>47872</v>
      </c>
      <c r="J537" s="485">
        <v>15016</v>
      </c>
      <c r="K537" s="486">
        <v>15447</v>
      </c>
      <c r="L537" s="485">
        <v>31548</v>
      </c>
      <c r="M537" s="485">
        <v>151</v>
      </c>
      <c r="N537" s="485">
        <v>0</v>
      </c>
      <c r="O537" s="486">
        <v>33271</v>
      </c>
      <c r="P537" s="486">
        <v>260</v>
      </c>
      <c r="Q537" s="486">
        <v>0</v>
      </c>
      <c r="R537" s="485"/>
      <c r="S537" s="486"/>
      <c r="T537" s="483">
        <f t="shared" si="40"/>
        <v>0</v>
      </c>
      <c r="U537" s="484">
        <f t="shared" si="41"/>
        <v>0</v>
      </c>
      <c r="V537" s="485">
        <v>0</v>
      </c>
      <c r="W537" s="486">
        <v>0</v>
      </c>
      <c r="X537" s="485">
        <v>0</v>
      </c>
      <c r="Y537" s="486">
        <v>0</v>
      </c>
      <c r="Z537" s="485">
        <v>0</v>
      </c>
      <c r="AA537" s="485">
        <v>0</v>
      </c>
      <c r="AB537" s="485">
        <v>0</v>
      </c>
      <c r="AC537" s="486">
        <v>0</v>
      </c>
      <c r="AD537" s="486">
        <v>0</v>
      </c>
      <c r="AE537" s="486">
        <v>0</v>
      </c>
      <c r="AF537" s="485"/>
      <c r="AG537" s="486"/>
    </row>
    <row r="538" spans="1:33" s="28" customFormat="1" ht="12.75" customHeight="1">
      <c r="A538" s="117" t="s">
        <v>523</v>
      </c>
      <c r="B538" s="72" t="s">
        <v>610</v>
      </c>
      <c r="C538" s="73"/>
      <c r="D538" s="74">
        <v>228699</v>
      </c>
      <c r="E538" s="74">
        <v>9</v>
      </c>
      <c r="F538" s="483">
        <f t="shared" si="37"/>
        <v>77413</v>
      </c>
      <c r="G538" s="484">
        <f t="shared" si="38"/>
        <v>77306</v>
      </c>
      <c r="H538" s="485">
        <v>48762</v>
      </c>
      <c r="I538" s="486">
        <v>45918</v>
      </c>
      <c r="J538" s="485">
        <v>12849</v>
      </c>
      <c r="K538" s="486">
        <v>13231</v>
      </c>
      <c r="L538" s="485">
        <v>15712</v>
      </c>
      <c r="M538" s="485">
        <v>0</v>
      </c>
      <c r="N538" s="485">
        <v>90</v>
      </c>
      <c r="O538" s="486">
        <v>18094</v>
      </c>
      <c r="P538" s="486">
        <v>0</v>
      </c>
      <c r="Q538" s="486">
        <v>63</v>
      </c>
      <c r="R538" s="485"/>
      <c r="S538" s="486"/>
      <c r="T538" s="483">
        <f t="shared" si="40"/>
        <v>0</v>
      </c>
      <c r="U538" s="484">
        <f t="shared" si="41"/>
        <v>0</v>
      </c>
      <c r="V538" s="485">
        <v>0</v>
      </c>
      <c r="W538" s="486">
        <v>0</v>
      </c>
      <c r="X538" s="485">
        <v>0</v>
      </c>
      <c r="Y538" s="486">
        <v>0</v>
      </c>
      <c r="Z538" s="485">
        <v>0</v>
      </c>
      <c r="AA538" s="485">
        <v>0</v>
      </c>
      <c r="AB538" s="485">
        <v>0</v>
      </c>
      <c r="AC538" s="486">
        <v>0</v>
      </c>
      <c r="AD538" s="486">
        <v>0</v>
      </c>
      <c r="AE538" s="486">
        <v>0</v>
      </c>
      <c r="AF538" s="485"/>
      <c r="AG538" s="486"/>
    </row>
    <row r="539" spans="1:33" s="28" customFormat="1" ht="12.75" customHeight="1">
      <c r="A539" s="117" t="s">
        <v>523</v>
      </c>
      <c r="B539" s="72" t="s">
        <v>611</v>
      </c>
      <c r="C539" s="152"/>
      <c r="D539" s="74">
        <v>229072</v>
      </c>
      <c r="E539" s="153">
        <v>9</v>
      </c>
      <c r="F539" s="483">
        <f t="shared" si="37"/>
        <v>89951</v>
      </c>
      <c r="G539" s="484">
        <f t="shared" si="38"/>
        <v>107573</v>
      </c>
      <c r="H539" s="485">
        <v>69711</v>
      </c>
      <c r="I539" s="486">
        <v>75955</v>
      </c>
      <c r="J539" s="485">
        <v>19082</v>
      </c>
      <c r="K539" s="486">
        <v>28717</v>
      </c>
      <c r="L539" s="485">
        <v>1158</v>
      </c>
      <c r="M539" s="485">
        <v>0</v>
      </c>
      <c r="N539" s="485">
        <v>0</v>
      </c>
      <c r="O539" s="486">
        <v>2901</v>
      </c>
      <c r="P539" s="486">
        <v>0</v>
      </c>
      <c r="Q539" s="486">
        <v>0</v>
      </c>
      <c r="R539" s="485"/>
      <c r="S539" s="486"/>
      <c r="T539" s="483">
        <f t="shared" si="40"/>
        <v>0</v>
      </c>
      <c r="U539" s="484">
        <f t="shared" si="41"/>
        <v>0</v>
      </c>
      <c r="V539" s="485">
        <v>0</v>
      </c>
      <c r="W539" s="486">
        <v>0</v>
      </c>
      <c r="X539" s="485">
        <v>0</v>
      </c>
      <c r="Y539" s="486">
        <v>0</v>
      </c>
      <c r="Z539" s="485">
        <v>0</v>
      </c>
      <c r="AA539" s="485">
        <v>0</v>
      </c>
      <c r="AB539" s="485">
        <v>0</v>
      </c>
      <c r="AC539" s="486">
        <v>0</v>
      </c>
      <c r="AD539" s="486">
        <v>0</v>
      </c>
      <c r="AE539" s="486">
        <v>0</v>
      </c>
      <c r="AF539" s="485"/>
      <c r="AG539" s="486"/>
    </row>
    <row r="540" spans="1:33" s="28" customFormat="1" ht="12.75" customHeight="1">
      <c r="A540" s="117" t="s">
        <v>523</v>
      </c>
      <c r="B540" s="72" t="s">
        <v>612</v>
      </c>
      <c r="C540" s="152"/>
      <c r="D540" s="74">
        <v>229319</v>
      </c>
      <c r="E540" s="74">
        <v>9</v>
      </c>
      <c r="F540" s="483">
        <f t="shared" si="37"/>
        <v>113339</v>
      </c>
      <c r="G540" s="484">
        <f t="shared" si="38"/>
        <v>97411</v>
      </c>
      <c r="H540" s="485">
        <v>95019</v>
      </c>
      <c r="I540" s="486">
        <v>85124</v>
      </c>
      <c r="J540" s="485">
        <v>10007</v>
      </c>
      <c r="K540" s="486">
        <v>3369</v>
      </c>
      <c r="L540" s="485">
        <v>8313</v>
      </c>
      <c r="M540" s="485">
        <v>0</v>
      </c>
      <c r="N540" s="485">
        <v>0</v>
      </c>
      <c r="O540" s="486">
        <v>8918</v>
      </c>
      <c r="P540" s="486">
        <v>0</v>
      </c>
      <c r="Q540" s="486">
        <v>0</v>
      </c>
      <c r="R540" s="485"/>
      <c r="S540" s="486"/>
      <c r="T540" s="483">
        <f t="shared" si="40"/>
        <v>0</v>
      </c>
      <c r="U540" s="484">
        <f t="shared" si="41"/>
        <v>0</v>
      </c>
      <c r="V540" s="485">
        <v>0</v>
      </c>
      <c r="W540" s="486">
        <v>0</v>
      </c>
      <c r="X540" s="485">
        <v>0</v>
      </c>
      <c r="Y540" s="486">
        <v>0</v>
      </c>
      <c r="Z540" s="485">
        <v>0</v>
      </c>
      <c r="AA540" s="485">
        <v>0</v>
      </c>
      <c r="AB540" s="485">
        <v>0</v>
      </c>
      <c r="AC540" s="486">
        <v>0</v>
      </c>
      <c r="AD540" s="486">
        <v>0</v>
      </c>
      <c r="AE540" s="486">
        <v>0</v>
      </c>
      <c r="AF540" s="485"/>
      <c r="AG540" s="486"/>
    </row>
    <row r="541" spans="1:33">
      <c r="A541" s="117" t="s">
        <v>523</v>
      </c>
      <c r="B541" s="72" t="s">
        <v>613</v>
      </c>
      <c r="C541" s="152"/>
      <c r="D541" s="74">
        <v>228680</v>
      </c>
      <c r="E541" s="153">
        <v>9</v>
      </c>
      <c r="F541" s="483">
        <f t="shared" si="37"/>
        <v>109332</v>
      </c>
      <c r="G541" s="484">
        <f t="shared" si="38"/>
        <v>105877</v>
      </c>
      <c r="H541" s="485">
        <v>95328</v>
      </c>
      <c r="I541" s="486">
        <v>92106</v>
      </c>
      <c r="J541" s="485">
        <v>5618</v>
      </c>
      <c r="K541" s="486">
        <v>2794</v>
      </c>
      <c r="L541" s="485">
        <v>8386</v>
      </c>
      <c r="M541" s="485">
        <v>0</v>
      </c>
      <c r="N541" s="485">
        <v>0</v>
      </c>
      <c r="O541" s="486">
        <v>10974</v>
      </c>
      <c r="P541" s="486">
        <v>0</v>
      </c>
      <c r="Q541" s="486">
        <v>3</v>
      </c>
      <c r="R541" s="485"/>
      <c r="S541" s="486"/>
      <c r="T541" s="483">
        <f t="shared" si="40"/>
        <v>0</v>
      </c>
      <c r="U541" s="484">
        <f t="shared" si="41"/>
        <v>0</v>
      </c>
      <c r="V541" s="485">
        <v>0</v>
      </c>
      <c r="W541" s="486">
        <v>0</v>
      </c>
      <c r="X541" s="485">
        <v>0</v>
      </c>
      <c r="Y541" s="486">
        <v>0</v>
      </c>
      <c r="Z541" s="485">
        <v>0</v>
      </c>
      <c r="AA541" s="485">
        <v>0</v>
      </c>
      <c r="AB541" s="485">
        <v>0</v>
      </c>
      <c r="AC541" s="486">
        <v>0</v>
      </c>
      <c r="AD541" s="486">
        <v>0</v>
      </c>
      <c r="AE541" s="486">
        <v>0</v>
      </c>
      <c r="AF541" s="485"/>
      <c r="AG541" s="486"/>
    </row>
    <row r="542" spans="1:33" s="28" customFormat="1" ht="12.75" customHeight="1">
      <c r="A542" s="117" t="s">
        <v>523</v>
      </c>
      <c r="B542" s="72" t="s">
        <v>614</v>
      </c>
      <c r="C542" s="73"/>
      <c r="D542" s="74">
        <v>229504</v>
      </c>
      <c r="E542" s="151">
        <v>9</v>
      </c>
      <c r="F542" s="483">
        <f t="shared" si="37"/>
        <v>59803</v>
      </c>
      <c r="G542" s="484">
        <f t="shared" si="38"/>
        <v>57529</v>
      </c>
      <c r="H542" s="485">
        <v>8863</v>
      </c>
      <c r="I542" s="486">
        <v>8963</v>
      </c>
      <c r="J542" s="485">
        <v>30553</v>
      </c>
      <c r="K542" s="486">
        <v>28952</v>
      </c>
      <c r="L542" s="485">
        <v>17075</v>
      </c>
      <c r="M542" s="485">
        <v>3273</v>
      </c>
      <c r="N542" s="485">
        <v>39</v>
      </c>
      <c r="O542" s="486">
        <v>16669</v>
      </c>
      <c r="P542" s="486">
        <v>2903</v>
      </c>
      <c r="Q542" s="486">
        <v>42</v>
      </c>
      <c r="R542" s="485"/>
      <c r="S542" s="486"/>
      <c r="T542" s="483">
        <f t="shared" si="40"/>
        <v>0</v>
      </c>
      <c r="U542" s="484">
        <f t="shared" si="41"/>
        <v>0</v>
      </c>
      <c r="V542" s="485">
        <v>0</v>
      </c>
      <c r="W542" s="486">
        <v>0</v>
      </c>
      <c r="X542" s="485">
        <v>0</v>
      </c>
      <c r="Y542" s="486">
        <v>0</v>
      </c>
      <c r="Z542" s="485">
        <v>0</v>
      </c>
      <c r="AA542" s="485">
        <v>0</v>
      </c>
      <c r="AB542" s="485">
        <v>0</v>
      </c>
      <c r="AC542" s="486">
        <v>0</v>
      </c>
      <c r="AD542" s="486">
        <v>0</v>
      </c>
      <c r="AE542" s="486">
        <v>0</v>
      </c>
      <c r="AF542" s="485"/>
      <c r="AG542" s="486"/>
    </row>
    <row r="543" spans="1:33" s="28" customFormat="1" ht="12.75" customHeight="1">
      <c r="A543" s="117" t="s">
        <v>523</v>
      </c>
      <c r="B543" s="72" t="s">
        <v>615</v>
      </c>
      <c r="C543" s="73"/>
      <c r="D543" s="74">
        <v>229540</v>
      </c>
      <c r="E543" s="74">
        <v>9</v>
      </c>
      <c r="F543" s="483">
        <f t="shared" si="37"/>
        <v>70100</v>
      </c>
      <c r="G543" s="484">
        <f t="shared" si="38"/>
        <v>67008</v>
      </c>
      <c r="H543" s="485">
        <v>45544</v>
      </c>
      <c r="I543" s="486">
        <v>37780</v>
      </c>
      <c r="J543" s="485">
        <v>3567</v>
      </c>
      <c r="K543" s="486">
        <v>4210</v>
      </c>
      <c r="L543" s="485">
        <v>18096</v>
      </c>
      <c r="M543" s="485">
        <v>2893</v>
      </c>
      <c r="N543" s="485">
        <v>0</v>
      </c>
      <c r="O543" s="486">
        <v>17962</v>
      </c>
      <c r="P543" s="486">
        <v>7056</v>
      </c>
      <c r="Q543" s="486">
        <v>0</v>
      </c>
      <c r="R543" s="485"/>
      <c r="S543" s="486"/>
      <c r="T543" s="483">
        <f t="shared" si="40"/>
        <v>0</v>
      </c>
      <c r="U543" s="484">
        <f t="shared" si="41"/>
        <v>0</v>
      </c>
      <c r="V543" s="485">
        <v>0</v>
      </c>
      <c r="W543" s="486">
        <v>0</v>
      </c>
      <c r="X543" s="485">
        <v>0</v>
      </c>
      <c r="Y543" s="486">
        <v>0</v>
      </c>
      <c r="Z543" s="485">
        <v>0</v>
      </c>
      <c r="AA543" s="485">
        <v>0</v>
      </c>
      <c r="AB543" s="485">
        <v>0</v>
      </c>
      <c r="AC543" s="486">
        <v>0</v>
      </c>
      <c r="AD543" s="486">
        <v>0</v>
      </c>
      <c r="AE543" s="486">
        <v>0</v>
      </c>
      <c r="AF543" s="485"/>
      <c r="AG543" s="486"/>
    </row>
    <row r="544" spans="1:33" s="28" customFormat="1" ht="12.75" customHeight="1">
      <c r="A544" s="117" t="s">
        <v>523</v>
      </c>
      <c r="B544" s="72" t="s">
        <v>616</v>
      </c>
      <c r="C544" s="73"/>
      <c r="D544" s="74">
        <v>229799</v>
      </c>
      <c r="E544" s="74">
        <v>9</v>
      </c>
      <c r="F544" s="483">
        <f t="shared" ref="F544:F607" si="42">SUM(H544,J544,L544,M544,N544,R544)</f>
        <v>114921</v>
      </c>
      <c r="G544" s="484">
        <f t="shared" ref="G544:G607" si="43">SUM(I544,K544,O544,P544,Q544,S544)</f>
        <v>114335</v>
      </c>
      <c r="H544" s="485">
        <v>61260</v>
      </c>
      <c r="I544" s="486">
        <v>55733</v>
      </c>
      <c r="J544" s="485">
        <v>15199</v>
      </c>
      <c r="K544" s="486">
        <v>18758</v>
      </c>
      <c r="L544" s="485">
        <v>37393</v>
      </c>
      <c r="M544" s="485">
        <v>765</v>
      </c>
      <c r="N544" s="485">
        <v>304</v>
      </c>
      <c r="O544" s="486">
        <v>39421</v>
      </c>
      <c r="P544" s="486">
        <v>414</v>
      </c>
      <c r="Q544" s="486">
        <v>9</v>
      </c>
      <c r="R544" s="485"/>
      <c r="S544" s="486"/>
      <c r="T544" s="483">
        <f t="shared" si="40"/>
        <v>0</v>
      </c>
      <c r="U544" s="484">
        <f t="shared" si="41"/>
        <v>0</v>
      </c>
      <c r="V544" s="485">
        <v>0</v>
      </c>
      <c r="W544" s="486">
        <v>0</v>
      </c>
      <c r="X544" s="485">
        <v>0</v>
      </c>
      <c r="Y544" s="486">
        <v>0</v>
      </c>
      <c r="Z544" s="485">
        <v>0</v>
      </c>
      <c r="AA544" s="485">
        <v>0</v>
      </c>
      <c r="AB544" s="485">
        <v>0</v>
      </c>
      <c r="AC544" s="486">
        <v>0</v>
      </c>
      <c r="AD544" s="486">
        <v>0</v>
      </c>
      <c r="AE544" s="486">
        <v>0</v>
      </c>
      <c r="AF544" s="485"/>
      <c r="AG544" s="486"/>
    </row>
    <row r="545" spans="1:33">
      <c r="A545" s="117" t="s">
        <v>523</v>
      </c>
      <c r="B545" s="72" t="s">
        <v>617</v>
      </c>
      <c r="C545" s="73"/>
      <c r="D545" s="74">
        <v>229841</v>
      </c>
      <c r="E545" s="74">
        <v>9</v>
      </c>
      <c r="F545" s="483">
        <f t="shared" si="42"/>
        <v>142601</v>
      </c>
      <c r="G545" s="484">
        <f t="shared" si="43"/>
        <v>139109</v>
      </c>
      <c r="H545" s="485">
        <v>34000</v>
      </c>
      <c r="I545" s="486">
        <v>32696</v>
      </c>
      <c r="J545" s="485">
        <v>82042</v>
      </c>
      <c r="K545" s="486">
        <v>80650</v>
      </c>
      <c r="L545" s="485">
        <v>24287</v>
      </c>
      <c r="M545" s="485">
        <v>2272</v>
      </c>
      <c r="N545" s="485">
        <v>0</v>
      </c>
      <c r="O545" s="486">
        <v>24620</v>
      </c>
      <c r="P545" s="486">
        <v>1143</v>
      </c>
      <c r="Q545" s="486">
        <v>0</v>
      </c>
      <c r="R545" s="485"/>
      <c r="S545" s="486"/>
      <c r="T545" s="483">
        <f t="shared" si="40"/>
        <v>0</v>
      </c>
      <c r="U545" s="484">
        <f t="shared" si="41"/>
        <v>0</v>
      </c>
      <c r="V545" s="485">
        <v>0</v>
      </c>
      <c r="W545" s="486">
        <v>0</v>
      </c>
      <c r="X545" s="485">
        <v>0</v>
      </c>
      <c r="Y545" s="486">
        <v>0</v>
      </c>
      <c r="Z545" s="485">
        <v>0</v>
      </c>
      <c r="AA545" s="485">
        <v>0</v>
      </c>
      <c r="AB545" s="485">
        <v>0</v>
      </c>
      <c r="AC545" s="486">
        <v>0</v>
      </c>
      <c r="AD545" s="486">
        <v>0</v>
      </c>
      <c r="AE545" s="486">
        <v>0</v>
      </c>
      <c r="AF545" s="485"/>
      <c r="AG545" s="486"/>
    </row>
    <row r="546" spans="1:33">
      <c r="A546" s="117" t="s">
        <v>523</v>
      </c>
      <c r="B546" s="72" t="s">
        <v>618</v>
      </c>
      <c r="C546" s="73"/>
      <c r="D546" s="74">
        <v>223922</v>
      </c>
      <c r="E546" s="74">
        <v>10</v>
      </c>
      <c r="F546" s="483">
        <f t="shared" si="42"/>
        <v>30961</v>
      </c>
      <c r="G546" s="484">
        <f t="shared" si="43"/>
        <v>31623</v>
      </c>
      <c r="H546" s="485">
        <v>10597</v>
      </c>
      <c r="I546" s="486">
        <v>10785</v>
      </c>
      <c r="J546" s="485">
        <v>10508</v>
      </c>
      <c r="K546" s="486">
        <v>9564</v>
      </c>
      <c r="L546" s="485">
        <v>9316</v>
      </c>
      <c r="M546" s="485">
        <v>540</v>
      </c>
      <c r="N546" s="485">
        <v>0</v>
      </c>
      <c r="O546" s="486">
        <v>10857</v>
      </c>
      <c r="P546" s="486">
        <v>417</v>
      </c>
      <c r="Q546" s="486">
        <v>0</v>
      </c>
      <c r="R546" s="485"/>
      <c r="S546" s="486"/>
      <c r="T546" s="483">
        <f t="shared" si="40"/>
        <v>0</v>
      </c>
      <c r="U546" s="484">
        <f t="shared" si="41"/>
        <v>0</v>
      </c>
      <c r="V546" s="485">
        <v>0</v>
      </c>
      <c r="W546" s="486">
        <v>0</v>
      </c>
      <c r="X546" s="485">
        <v>0</v>
      </c>
      <c r="Y546" s="486">
        <v>0</v>
      </c>
      <c r="Z546" s="485">
        <v>0</v>
      </c>
      <c r="AA546" s="485">
        <v>0</v>
      </c>
      <c r="AB546" s="485">
        <v>0</v>
      </c>
      <c r="AC546" s="486">
        <v>0</v>
      </c>
      <c r="AD546" s="486">
        <v>0</v>
      </c>
      <c r="AE546" s="486">
        <v>0</v>
      </c>
      <c r="AF546" s="485"/>
      <c r="AG546" s="486"/>
    </row>
    <row r="547" spans="1:33" s="28" customFormat="1" ht="12.75" customHeight="1">
      <c r="A547" s="117" t="s">
        <v>523</v>
      </c>
      <c r="B547" s="72" t="s">
        <v>619</v>
      </c>
      <c r="C547" s="73"/>
      <c r="D547" s="74">
        <v>224891</v>
      </c>
      <c r="E547" s="74">
        <v>10</v>
      </c>
      <c r="F547" s="483">
        <f t="shared" si="42"/>
        <v>26644</v>
      </c>
      <c r="G547" s="484">
        <f t="shared" si="43"/>
        <v>25788</v>
      </c>
      <c r="H547" s="485">
        <v>14714</v>
      </c>
      <c r="I547" s="486">
        <v>13423</v>
      </c>
      <c r="J547" s="485">
        <v>3661</v>
      </c>
      <c r="K547" s="486">
        <v>3386</v>
      </c>
      <c r="L547" s="485">
        <v>4964</v>
      </c>
      <c r="M547" s="485">
        <v>15</v>
      </c>
      <c r="N547" s="485">
        <v>3290</v>
      </c>
      <c r="O547" s="486">
        <v>7450</v>
      </c>
      <c r="P547" s="486">
        <v>12</v>
      </c>
      <c r="Q547" s="486">
        <v>1517</v>
      </c>
      <c r="R547" s="485"/>
      <c r="S547" s="486"/>
      <c r="T547" s="483">
        <f t="shared" ref="T547:T560" si="44">SUM(V547,X546,Z547,AA547,AB547,AF547)</f>
        <v>0</v>
      </c>
      <c r="U547" s="484">
        <f t="shared" si="41"/>
        <v>0</v>
      </c>
      <c r="V547" s="485">
        <v>0</v>
      </c>
      <c r="W547" s="486">
        <v>0</v>
      </c>
      <c r="X547" s="485">
        <v>0</v>
      </c>
      <c r="Y547" s="486">
        <v>0</v>
      </c>
      <c r="Z547" s="485">
        <v>0</v>
      </c>
      <c r="AA547" s="485">
        <v>0</v>
      </c>
      <c r="AB547" s="485">
        <v>0</v>
      </c>
      <c r="AC547" s="486">
        <v>0</v>
      </c>
      <c r="AD547" s="486">
        <v>0</v>
      </c>
      <c r="AE547" s="486">
        <v>0</v>
      </c>
      <c r="AF547" s="485"/>
      <c r="AG547" s="486"/>
    </row>
    <row r="548" spans="1:33" s="28" customFormat="1" ht="12.75" customHeight="1">
      <c r="A548" s="117" t="s">
        <v>523</v>
      </c>
      <c r="B548" s="72" t="s">
        <v>620</v>
      </c>
      <c r="C548" s="73"/>
      <c r="D548" s="74">
        <v>224961</v>
      </c>
      <c r="E548" s="74">
        <v>10</v>
      </c>
      <c r="F548" s="483">
        <f t="shared" si="42"/>
        <v>42153</v>
      </c>
      <c r="G548" s="484">
        <f t="shared" si="43"/>
        <v>44992</v>
      </c>
      <c r="H548" s="485">
        <v>25147</v>
      </c>
      <c r="I548" s="486">
        <v>27010</v>
      </c>
      <c r="J548" s="485">
        <v>165</v>
      </c>
      <c r="K548" s="486">
        <v>187</v>
      </c>
      <c r="L548" s="485">
        <v>16841</v>
      </c>
      <c r="M548" s="485">
        <v>0</v>
      </c>
      <c r="N548" s="485">
        <v>0</v>
      </c>
      <c r="O548" s="486">
        <v>17795</v>
      </c>
      <c r="P548" s="486">
        <v>0</v>
      </c>
      <c r="Q548" s="486">
        <v>0</v>
      </c>
      <c r="R548" s="485"/>
      <c r="S548" s="486"/>
      <c r="T548" s="483">
        <f t="shared" si="44"/>
        <v>0</v>
      </c>
      <c r="U548" s="484">
        <f t="shared" si="41"/>
        <v>0</v>
      </c>
      <c r="V548" s="485">
        <v>0</v>
      </c>
      <c r="W548" s="486">
        <v>0</v>
      </c>
      <c r="X548" s="485">
        <v>0</v>
      </c>
      <c r="Y548" s="486">
        <v>0</v>
      </c>
      <c r="Z548" s="485">
        <v>0</v>
      </c>
      <c r="AA548" s="485">
        <v>0</v>
      </c>
      <c r="AB548" s="485">
        <v>0</v>
      </c>
      <c r="AC548" s="486">
        <v>0</v>
      </c>
      <c r="AD548" s="486">
        <v>0</v>
      </c>
      <c r="AE548" s="486">
        <v>0</v>
      </c>
      <c r="AF548" s="485"/>
      <c r="AG548" s="486"/>
    </row>
    <row r="549" spans="1:33">
      <c r="A549" s="117" t="s">
        <v>523</v>
      </c>
      <c r="B549" s="72" t="s">
        <v>621</v>
      </c>
      <c r="C549" s="73"/>
      <c r="D549" s="74">
        <v>226107</v>
      </c>
      <c r="E549" s="151">
        <v>10</v>
      </c>
      <c r="F549" s="483">
        <f t="shared" si="42"/>
        <v>44527</v>
      </c>
      <c r="G549" s="484">
        <f t="shared" si="43"/>
        <v>43645</v>
      </c>
      <c r="H549" s="485">
        <v>28975</v>
      </c>
      <c r="I549" s="486">
        <v>26498</v>
      </c>
      <c r="J549" s="485">
        <v>435</v>
      </c>
      <c r="K549" s="486">
        <v>673</v>
      </c>
      <c r="L549" s="485">
        <v>15117</v>
      </c>
      <c r="M549" s="485">
        <v>0</v>
      </c>
      <c r="N549" s="485">
        <v>0</v>
      </c>
      <c r="O549" s="486">
        <v>16474</v>
      </c>
      <c r="P549" s="486">
        <v>0</v>
      </c>
      <c r="Q549" s="486">
        <v>0</v>
      </c>
      <c r="R549" s="485"/>
      <c r="S549" s="486"/>
      <c r="T549" s="483">
        <f>SUM(V549,X549,Z549,AA549,AB549,AF549)</f>
        <v>0</v>
      </c>
      <c r="U549" s="484">
        <f t="shared" si="41"/>
        <v>0</v>
      </c>
      <c r="V549" s="485">
        <v>0</v>
      </c>
      <c r="W549" s="486">
        <v>0</v>
      </c>
      <c r="X549" s="485">
        <v>0</v>
      </c>
      <c r="Y549" s="486">
        <v>0</v>
      </c>
      <c r="Z549" s="485">
        <v>0</v>
      </c>
      <c r="AA549" s="485">
        <v>0</v>
      </c>
      <c r="AB549" s="485">
        <v>0</v>
      </c>
      <c r="AC549" s="486">
        <v>0</v>
      </c>
      <c r="AD549" s="486">
        <v>0</v>
      </c>
      <c r="AE549" s="486">
        <v>0</v>
      </c>
      <c r="AF549" s="485"/>
      <c r="AG549" s="486"/>
    </row>
    <row r="550" spans="1:33" s="28" customFormat="1" ht="12.75" customHeight="1">
      <c r="A550" s="117" t="s">
        <v>523</v>
      </c>
      <c r="B550" s="72" t="s">
        <v>602</v>
      </c>
      <c r="C550" s="118"/>
      <c r="D550" s="74">
        <v>226116</v>
      </c>
      <c r="E550" s="151">
        <v>10</v>
      </c>
      <c r="F550" s="483">
        <f t="shared" si="42"/>
        <v>44855</v>
      </c>
      <c r="G550" s="484">
        <f t="shared" si="43"/>
        <v>46502</v>
      </c>
      <c r="H550" s="485">
        <v>30542</v>
      </c>
      <c r="I550" s="486">
        <v>31905</v>
      </c>
      <c r="J550" s="485">
        <v>10563</v>
      </c>
      <c r="K550" s="486">
        <v>8177</v>
      </c>
      <c r="L550" s="485">
        <v>3750</v>
      </c>
      <c r="M550" s="485">
        <v>0</v>
      </c>
      <c r="N550" s="485">
        <v>0</v>
      </c>
      <c r="O550" s="486">
        <v>6420</v>
      </c>
      <c r="P550" s="486">
        <v>0</v>
      </c>
      <c r="Q550" s="486">
        <v>0</v>
      </c>
      <c r="R550" s="485"/>
      <c r="S550" s="486"/>
      <c r="T550" s="483">
        <f>SUM(V550,X549,Z550,AA550,AB550,AF550)</f>
        <v>0</v>
      </c>
      <c r="U550" s="484">
        <f t="shared" si="41"/>
        <v>0</v>
      </c>
      <c r="V550" s="485">
        <v>0</v>
      </c>
      <c r="W550" s="486">
        <v>0</v>
      </c>
      <c r="X550" s="485">
        <v>0</v>
      </c>
      <c r="Y550" s="486">
        <v>0</v>
      </c>
      <c r="Z550" s="485">
        <v>0</v>
      </c>
      <c r="AA550" s="485">
        <v>0</v>
      </c>
      <c r="AB550" s="485">
        <v>0</v>
      </c>
      <c r="AC550" s="486">
        <v>0</v>
      </c>
      <c r="AD550" s="486">
        <v>0</v>
      </c>
      <c r="AE550" s="486">
        <v>0</v>
      </c>
      <c r="AF550" s="485"/>
      <c r="AG550" s="486"/>
    </row>
    <row r="551" spans="1:33" s="28" customFormat="1" ht="12.75" customHeight="1">
      <c r="A551" s="117" t="s">
        <v>523</v>
      </c>
      <c r="B551" s="72" t="s">
        <v>622</v>
      </c>
      <c r="C551" s="147" t="s">
        <v>944</v>
      </c>
      <c r="D551" s="148">
        <v>488730</v>
      </c>
      <c r="E551" s="151">
        <v>10</v>
      </c>
      <c r="F551" s="483">
        <f t="shared" si="42"/>
        <v>55857</v>
      </c>
      <c r="G551" s="484">
        <f t="shared" si="43"/>
        <v>73448</v>
      </c>
      <c r="H551" s="485">
        <v>45414</v>
      </c>
      <c r="I551" s="486">
        <v>58787</v>
      </c>
      <c r="J551" s="485">
        <v>0</v>
      </c>
      <c r="K551" s="486">
        <v>0</v>
      </c>
      <c r="L551" s="485">
        <v>10443</v>
      </c>
      <c r="M551" s="485">
        <v>0</v>
      </c>
      <c r="N551" s="485">
        <v>0</v>
      </c>
      <c r="O551" s="486">
        <v>14661</v>
      </c>
      <c r="P551" s="486">
        <v>0</v>
      </c>
      <c r="Q551" s="486">
        <v>0</v>
      </c>
      <c r="R551" s="485"/>
      <c r="S551" s="486"/>
      <c r="T551" s="483">
        <f t="shared" ref="T551:T614" si="45">SUM(V551,X551,Z551,AA551,AB551,AF551)</f>
        <v>0</v>
      </c>
      <c r="U551" s="484">
        <f t="shared" si="41"/>
        <v>0</v>
      </c>
      <c r="V551" s="485">
        <v>0</v>
      </c>
      <c r="W551" s="486">
        <v>0</v>
      </c>
      <c r="X551" s="485">
        <v>0</v>
      </c>
      <c r="Y551" s="486">
        <v>0</v>
      </c>
      <c r="Z551" s="485">
        <v>0</v>
      </c>
      <c r="AA551" s="485">
        <v>0</v>
      </c>
      <c r="AB551" s="485">
        <v>0</v>
      </c>
      <c r="AC551" s="486">
        <v>0</v>
      </c>
      <c r="AD551" s="486">
        <v>0</v>
      </c>
      <c r="AE551" s="486">
        <v>0</v>
      </c>
      <c r="AF551" s="485"/>
      <c r="AG551" s="486"/>
    </row>
    <row r="552" spans="1:33" s="28" customFormat="1" ht="12.75" customHeight="1">
      <c r="A552" s="117" t="s">
        <v>523</v>
      </c>
      <c r="B552" s="72" t="s">
        <v>623</v>
      </c>
      <c r="C552" s="73"/>
      <c r="D552" s="74">
        <v>227386</v>
      </c>
      <c r="E552" s="74">
        <v>10</v>
      </c>
      <c r="F552" s="483">
        <f t="shared" si="42"/>
        <v>57184</v>
      </c>
      <c r="G552" s="484">
        <f t="shared" si="43"/>
        <v>55801</v>
      </c>
      <c r="H552" s="485">
        <v>23042</v>
      </c>
      <c r="I552" s="486">
        <v>20065</v>
      </c>
      <c r="J552" s="485">
        <v>6949</v>
      </c>
      <c r="K552" s="486">
        <v>6881</v>
      </c>
      <c r="L552" s="485">
        <v>26638</v>
      </c>
      <c r="M552" s="485">
        <v>555</v>
      </c>
      <c r="N552" s="485">
        <v>0</v>
      </c>
      <c r="O552" s="486">
        <v>28123</v>
      </c>
      <c r="P552" s="486">
        <v>732</v>
      </c>
      <c r="Q552" s="486">
        <v>0</v>
      </c>
      <c r="R552" s="485"/>
      <c r="S552" s="486"/>
      <c r="T552" s="483">
        <f t="shared" si="45"/>
        <v>0</v>
      </c>
      <c r="U552" s="484">
        <f t="shared" si="41"/>
        <v>0</v>
      </c>
      <c r="V552" s="485">
        <v>0</v>
      </c>
      <c r="W552" s="486">
        <v>0</v>
      </c>
      <c r="X552" s="485">
        <v>0</v>
      </c>
      <c r="Y552" s="486">
        <v>0</v>
      </c>
      <c r="Z552" s="485">
        <v>0</v>
      </c>
      <c r="AA552" s="485">
        <v>0</v>
      </c>
      <c r="AB552" s="485">
        <v>0</v>
      </c>
      <c r="AC552" s="486">
        <v>0</v>
      </c>
      <c r="AD552" s="486">
        <v>0</v>
      </c>
      <c r="AE552" s="486">
        <v>0</v>
      </c>
      <c r="AF552" s="485"/>
      <c r="AG552" s="486"/>
    </row>
    <row r="553" spans="1:33" s="28" customFormat="1" ht="12.75" customHeight="1">
      <c r="A553" s="117" t="s">
        <v>523</v>
      </c>
      <c r="B553" s="72" t="s">
        <v>624</v>
      </c>
      <c r="C553" s="73"/>
      <c r="D553" s="74">
        <v>227687</v>
      </c>
      <c r="E553" s="74">
        <v>10</v>
      </c>
      <c r="F553" s="483">
        <f t="shared" si="42"/>
        <v>47436</v>
      </c>
      <c r="G553" s="484">
        <f t="shared" si="43"/>
        <v>46464</v>
      </c>
      <c r="H553" s="485">
        <v>10374</v>
      </c>
      <c r="I553" s="486">
        <v>9583</v>
      </c>
      <c r="J553" s="485">
        <v>18790</v>
      </c>
      <c r="K553" s="486">
        <v>17457</v>
      </c>
      <c r="L553" s="485">
        <v>15068</v>
      </c>
      <c r="M553" s="485">
        <v>3074</v>
      </c>
      <c r="N553" s="485">
        <v>130</v>
      </c>
      <c r="O553" s="486">
        <v>17262</v>
      </c>
      <c r="P553" s="486">
        <v>1834</v>
      </c>
      <c r="Q553" s="486">
        <v>328</v>
      </c>
      <c r="R553" s="485"/>
      <c r="S553" s="486"/>
      <c r="T553" s="483">
        <f t="shared" si="45"/>
        <v>0</v>
      </c>
      <c r="U553" s="484">
        <f t="shared" si="41"/>
        <v>0</v>
      </c>
      <c r="V553" s="485">
        <v>0</v>
      </c>
      <c r="W553" s="486">
        <v>0</v>
      </c>
      <c r="X553" s="485">
        <v>0</v>
      </c>
      <c r="Y553" s="486">
        <v>0</v>
      </c>
      <c r="Z553" s="485">
        <v>0</v>
      </c>
      <c r="AA553" s="485">
        <v>0</v>
      </c>
      <c r="AB553" s="485">
        <v>0</v>
      </c>
      <c r="AC553" s="486">
        <v>0</v>
      </c>
      <c r="AD553" s="486">
        <v>0</v>
      </c>
      <c r="AE553" s="486">
        <v>0</v>
      </c>
      <c r="AF553" s="485"/>
      <c r="AG553" s="486"/>
    </row>
    <row r="554" spans="1:33" s="28" customFormat="1" ht="12.75" customHeight="1">
      <c r="A554" s="117" t="s">
        <v>523</v>
      </c>
      <c r="B554" s="72" t="s">
        <v>625</v>
      </c>
      <c r="C554" s="73"/>
      <c r="D554" s="74">
        <v>382911</v>
      </c>
      <c r="E554" s="74">
        <v>10</v>
      </c>
      <c r="F554" s="483">
        <f t="shared" si="42"/>
        <v>2095</v>
      </c>
      <c r="G554" s="484">
        <f t="shared" si="43"/>
        <v>1975</v>
      </c>
      <c r="H554" s="485">
        <v>1840</v>
      </c>
      <c r="I554" s="486">
        <v>1612</v>
      </c>
      <c r="J554" s="485">
        <v>105</v>
      </c>
      <c r="K554" s="486">
        <v>84</v>
      </c>
      <c r="L554" s="485">
        <v>9</v>
      </c>
      <c r="M554" s="485">
        <v>141</v>
      </c>
      <c r="N554" s="485">
        <v>0</v>
      </c>
      <c r="O554" s="486">
        <v>0</v>
      </c>
      <c r="P554" s="486">
        <v>279</v>
      </c>
      <c r="Q554" s="486">
        <v>0</v>
      </c>
      <c r="R554" s="485"/>
      <c r="S554" s="486"/>
      <c r="T554" s="483">
        <f t="shared" si="45"/>
        <v>0</v>
      </c>
      <c r="U554" s="484">
        <f t="shared" si="41"/>
        <v>0</v>
      </c>
      <c r="V554" s="485">
        <v>0</v>
      </c>
      <c r="W554" s="486">
        <v>0</v>
      </c>
      <c r="X554" s="485">
        <v>0</v>
      </c>
      <c r="Y554" s="486">
        <v>0</v>
      </c>
      <c r="Z554" s="485">
        <v>0</v>
      </c>
      <c r="AA554" s="485">
        <v>0</v>
      </c>
      <c r="AB554" s="485">
        <v>0</v>
      </c>
      <c r="AC554" s="486">
        <v>0</v>
      </c>
      <c r="AD554" s="486">
        <v>0</v>
      </c>
      <c r="AE554" s="486">
        <v>0</v>
      </c>
      <c r="AF554" s="485"/>
      <c r="AG554" s="486"/>
    </row>
    <row r="555" spans="1:33" s="28" customFormat="1" ht="12.75" customHeight="1">
      <c r="A555" s="117" t="s">
        <v>523</v>
      </c>
      <c r="B555" s="146" t="s">
        <v>633</v>
      </c>
      <c r="C555" s="73" t="s">
        <v>632</v>
      </c>
      <c r="D555" s="148" t="s">
        <v>634</v>
      </c>
      <c r="E555" s="74">
        <v>10</v>
      </c>
      <c r="F555" s="483">
        <f t="shared" si="42"/>
        <v>9537</v>
      </c>
      <c r="G555" s="484">
        <f t="shared" si="43"/>
        <v>10591</v>
      </c>
      <c r="H555" s="485">
        <v>7681</v>
      </c>
      <c r="I555" s="486">
        <v>7791</v>
      </c>
      <c r="J555" s="485">
        <v>0</v>
      </c>
      <c r="K555" s="486">
        <v>1800</v>
      </c>
      <c r="L555" s="485">
        <v>1856</v>
      </c>
      <c r="M555" s="485">
        <v>0</v>
      </c>
      <c r="N555" s="485">
        <v>0</v>
      </c>
      <c r="O555" s="486">
        <v>1000</v>
      </c>
      <c r="P555" s="486">
        <v>0</v>
      </c>
      <c r="Q555" s="486">
        <v>0</v>
      </c>
      <c r="R555" s="485"/>
      <c r="S555" s="486"/>
      <c r="T555" s="483">
        <f t="shared" si="45"/>
        <v>0</v>
      </c>
      <c r="U555" s="484">
        <f t="shared" si="41"/>
        <v>0</v>
      </c>
      <c r="V555" s="485">
        <v>0</v>
      </c>
      <c r="W555" s="486">
        <v>0</v>
      </c>
      <c r="X555" s="485">
        <v>0</v>
      </c>
      <c r="Y555" s="486">
        <v>0</v>
      </c>
      <c r="Z555" s="485">
        <v>0</v>
      </c>
      <c r="AA555" s="485">
        <v>0</v>
      </c>
      <c r="AB555" s="485">
        <v>0</v>
      </c>
      <c r="AC555" s="486">
        <v>0</v>
      </c>
      <c r="AD555" s="486">
        <v>0</v>
      </c>
      <c r="AE555" s="486">
        <v>0</v>
      </c>
      <c r="AF555" s="485"/>
      <c r="AG555" s="486"/>
    </row>
    <row r="556" spans="1:33">
      <c r="A556" s="117" t="s">
        <v>523</v>
      </c>
      <c r="B556" s="72" t="s">
        <v>626</v>
      </c>
      <c r="C556" s="73"/>
      <c r="D556" s="74">
        <v>408394</v>
      </c>
      <c r="E556" s="74">
        <v>10</v>
      </c>
      <c r="F556" s="483">
        <f t="shared" si="42"/>
        <v>17266</v>
      </c>
      <c r="G556" s="484">
        <f t="shared" si="43"/>
        <v>13802</v>
      </c>
      <c r="H556" s="485">
        <v>12021</v>
      </c>
      <c r="I556" s="486">
        <v>9596</v>
      </c>
      <c r="J556" s="485">
        <v>955</v>
      </c>
      <c r="K556" s="486">
        <v>386</v>
      </c>
      <c r="L556" s="485">
        <v>4290</v>
      </c>
      <c r="M556" s="485">
        <v>0</v>
      </c>
      <c r="N556" s="485">
        <v>0</v>
      </c>
      <c r="O556" s="486">
        <v>3820</v>
      </c>
      <c r="P556" s="486">
        <v>0</v>
      </c>
      <c r="Q556" s="486">
        <v>0</v>
      </c>
      <c r="R556" s="485"/>
      <c r="S556" s="486"/>
      <c r="T556" s="483">
        <f t="shared" si="45"/>
        <v>0</v>
      </c>
      <c r="U556" s="484">
        <f t="shared" si="41"/>
        <v>0</v>
      </c>
      <c r="V556" s="485">
        <v>0</v>
      </c>
      <c r="W556" s="486">
        <v>0</v>
      </c>
      <c r="X556" s="485">
        <v>0</v>
      </c>
      <c r="Y556" s="486">
        <v>0</v>
      </c>
      <c r="Z556" s="485">
        <v>0</v>
      </c>
      <c r="AA556" s="485">
        <v>0</v>
      </c>
      <c r="AB556" s="485">
        <v>0</v>
      </c>
      <c r="AC556" s="486">
        <v>0</v>
      </c>
      <c r="AD556" s="486">
        <v>0</v>
      </c>
      <c r="AE556" s="486">
        <v>0</v>
      </c>
      <c r="AF556" s="485"/>
      <c r="AG556" s="486"/>
    </row>
    <row r="557" spans="1:33" s="28" customFormat="1" ht="12.75" customHeight="1">
      <c r="A557" s="117" t="s">
        <v>523</v>
      </c>
      <c r="B557" s="146" t="s">
        <v>631</v>
      </c>
      <c r="C557" s="73" t="s">
        <v>632</v>
      </c>
      <c r="D557" s="148" t="s">
        <v>634</v>
      </c>
      <c r="E557" s="74">
        <v>10</v>
      </c>
      <c r="F557" s="483">
        <f t="shared" si="42"/>
        <v>6008</v>
      </c>
      <c r="G557" s="484">
        <f t="shared" si="43"/>
        <v>6662</v>
      </c>
      <c r="H557" s="485">
        <v>0</v>
      </c>
      <c r="I557" s="486">
        <v>0</v>
      </c>
      <c r="J557" s="485">
        <v>2323</v>
      </c>
      <c r="K557" s="486">
        <v>1844</v>
      </c>
      <c r="L557" s="485">
        <v>3685</v>
      </c>
      <c r="M557" s="485">
        <v>0</v>
      </c>
      <c r="N557" s="485">
        <v>0</v>
      </c>
      <c r="O557" s="486">
        <v>4818</v>
      </c>
      <c r="P557" s="486">
        <v>0</v>
      </c>
      <c r="Q557" s="486">
        <v>0</v>
      </c>
      <c r="R557" s="485"/>
      <c r="S557" s="486"/>
      <c r="T557" s="483">
        <f t="shared" si="45"/>
        <v>0</v>
      </c>
      <c r="U557" s="484">
        <f t="shared" si="41"/>
        <v>0</v>
      </c>
      <c r="V557" s="485">
        <v>0</v>
      </c>
      <c r="W557" s="486">
        <v>0</v>
      </c>
      <c r="X557" s="485">
        <v>0</v>
      </c>
      <c r="Y557" s="486">
        <v>0</v>
      </c>
      <c r="Z557" s="485">
        <v>0</v>
      </c>
      <c r="AA557" s="485">
        <v>0</v>
      </c>
      <c r="AB557" s="485">
        <v>0</v>
      </c>
      <c r="AC557" s="486">
        <v>0</v>
      </c>
      <c r="AD557" s="486">
        <v>0</v>
      </c>
      <c r="AE557" s="486">
        <v>0</v>
      </c>
      <c r="AF557" s="485"/>
      <c r="AG557" s="486"/>
    </row>
    <row r="558" spans="1:33" s="28" customFormat="1" ht="12.75" customHeight="1">
      <c r="A558" s="117" t="s">
        <v>523</v>
      </c>
      <c r="B558" s="72" t="s">
        <v>627</v>
      </c>
      <c r="C558" s="73"/>
      <c r="D558" s="74">
        <v>229328</v>
      </c>
      <c r="E558" s="151">
        <v>10</v>
      </c>
      <c r="F558" s="483">
        <f t="shared" si="42"/>
        <v>30125</v>
      </c>
      <c r="G558" s="484">
        <f t="shared" si="43"/>
        <v>31101</v>
      </c>
      <c r="H558" s="485">
        <v>8788</v>
      </c>
      <c r="I558" s="486">
        <v>8508</v>
      </c>
      <c r="J558" s="485">
        <v>7703</v>
      </c>
      <c r="K558" s="486">
        <v>8266</v>
      </c>
      <c r="L558" s="485">
        <v>13634</v>
      </c>
      <c r="M558" s="485">
        <v>0</v>
      </c>
      <c r="N558" s="485">
        <v>0</v>
      </c>
      <c r="O558" s="486">
        <v>14217</v>
      </c>
      <c r="P558" s="486">
        <v>110</v>
      </c>
      <c r="Q558" s="486">
        <v>0</v>
      </c>
      <c r="R558" s="485"/>
      <c r="S558" s="486"/>
      <c r="T558" s="483">
        <f t="shared" si="45"/>
        <v>0</v>
      </c>
      <c r="U558" s="484">
        <f t="shared" si="41"/>
        <v>0</v>
      </c>
      <c r="V558" s="485">
        <v>0</v>
      </c>
      <c r="W558" s="486">
        <v>0</v>
      </c>
      <c r="X558" s="485">
        <v>0</v>
      </c>
      <c r="Y558" s="486">
        <v>0</v>
      </c>
      <c r="Z558" s="485">
        <v>0</v>
      </c>
      <c r="AA558" s="485">
        <v>0</v>
      </c>
      <c r="AB558" s="485">
        <v>0</v>
      </c>
      <c r="AC558" s="486">
        <v>0</v>
      </c>
      <c r="AD558" s="486">
        <v>0</v>
      </c>
      <c r="AE558" s="486">
        <v>0</v>
      </c>
      <c r="AF558" s="485"/>
      <c r="AG558" s="486"/>
    </row>
    <row r="559" spans="1:33">
      <c r="A559" s="117" t="s">
        <v>523</v>
      </c>
      <c r="B559" s="72" t="s">
        <v>629</v>
      </c>
      <c r="C559" s="73" t="s">
        <v>630</v>
      </c>
      <c r="D559" s="74">
        <v>443711</v>
      </c>
      <c r="E559" s="74">
        <v>10</v>
      </c>
      <c r="F559" s="483">
        <f t="shared" si="42"/>
        <v>61641</v>
      </c>
      <c r="G559" s="484">
        <f t="shared" si="43"/>
        <v>69273</v>
      </c>
      <c r="H559" s="485">
        <v>32032</v>
      </c>
      <c r="I559" s="486">
        <v>33632</v>
      </c>
      <c r="J559" s="485">
        <v>15</v>
      </c>
      <c r="K559" s="486">
        <v>0</v>
      </c>
      <c r="L559" s="485">
        <v>29594</v>
      </c>
      <c r="M559" s="485">
        <v>0</v>
      </c>
      <c r="N559" s="485">
        <v>0</v>
      </c>
      <c r="O559" s="486">
        <v>35521</v>
      </c>
      <c r="P559" s="486">
        <v>0</v>
      </c>
      <c r="Q559" s="486">
        <v>120</v>
      </c>
      <c r="R559" s="485"/>
      <c r="S559" s="486"/>
      <c r="T559" s="483">
        <f t="shared" si="45"/>
        <v>16175</v>
      </c>
      <c r="U559" s="484">
        <f t="shared" si="41"/>
        <v>16216</v>
      </c>
      <c r="V559" s="485">
        <v>2256</v>
      </c>
      <c r="W559" s="486">
        <v>1761</v>
      </c>
      <c r="X559" s="485">
        <v>9810</v>
      </c>
      <c r="Y559" s="486">
        <v>9293</v>
      </c>
      <c r="Z559" s="485">
        <v>4109</v>
      </c>
      <c r="AA559" s="485">
        <v>0</v>
      </c>
      <c r="AB559" s="485">
        <v>0</v>
      </c>
      <c r="AC559" s="486">
        <v>5162</v>
      </c>
      <c r="AD559" s="486">
        <v>0</v>
      </c>
      <c r="AE559" s="486">
        <v>0</v>
      </c>
      <c r="AF559" s="485"/>
      <c r="AG559" s="486"/>
    </row>
    <row r="560" spans="1:33">
      <c r="A560" s="117" t="s">
        <v>523</v>
      </c>
      <c r="B560" s="72" t="s">
        <v>628</v>
      </c>
      <c r="C560" s="73"/>
      <c r="D560" s="74">
        <v>229832</v>
      </c>
      <c r="E560" s="74">
        <v>10</v>
      </c>
      <c r="F560" s="483">
        <f t="shared" si="42"/>
        <v>45765</v>
      </c>
      <c r="G560" s="484">
        <f t="shared" si="43"/>
        <v>46571</v>
      </c>
      <c r="H560" s="485">
        <v>13053</v>
      </c>
      <c r="I560" s="486">
        <v>12723</v>
      </c>
      <c r="J560" s="485">
        <v>5093</v>
      </c>
      <c r="K560" s="486">
        <v>4873</v>
      </c>
      <c r="L560" s="485">
        <v>25234</v>
      </c>
      <c r="M560" s="485">
        <v>2385</v>
      </c>
      <c r="N560" s="485">
        <v>0</v>
      </c>
      <c r="O560" s="486">
        <v>27348</v>
      </c>
      <c r="P560" s="486">
        <v>1627</v>
      </c>
      <c r="Q560" s="486">
        <v>0</v>
      </c>
      <c r="R560" s="485"/>
      <c r="S560" s="486"/>
      <c r="T560" s="483">
        <f t="shared" si="45"/>
        <v>0</v>
      </c>
      <c r="U560" s="484">
        <f t="shared" si="41"/>
        <v>0</v>
      </c>
      <c r="V560" s="485">
        <v>0</v>
      </c>
      <c r="W560" s="486">
        <v>0</v>
      </c>
      <c r="X560" s="485">
        <v>0</v>
      </c>
      <c r="Y560" s="486">
        <v>0</v>
      </c>
      <c r="Z560" s="485">
        <v>0</v>
      </c>
      <c r="AA560" s="485">
        <v>0</v>
      </c>
      <c r="AB560" s="485">
        <v>0</v>
      </c>
      <c r="AC560" s="486">
        <v>0</v>
      </c>
      <c r="AD560" s="486">
        <v>0</v>
      </c>
      <c r="AE560" s="486">
        <v>0</v>
      </c>
      <c r="AF560" s="485"/>
      <c r="AG560" s="486"/>
    </row>
    <row r="561" spans="1:33" s="28" customFormat="1" ht="13.5" customHeight="1">
      <c r="A561" s="75" t="s">
        <v>635</v>
      </c>
      <c r="B561" s="76" t="s">
        <v>636</v>
      </c>
      <c r="C561" s="77"/>
      <c r="D561" s="78">
        <v>232186</v>
      </c>
      <c r="E561" s="78">
        <v>1</v>
      </c>
      <c r="F561" s="483">
        <f t="shared" si="42"/>
        <v>694269</v>
      </c>
      <c r="G561" s="484">
        <f t="shared" si="43"/>
        <v>725722.5</v>
      </c>
      <c r="H561" s="485">
        <v>598291</v>
      </c>
      <c r="I561" s="486">
        <v>611251.5</v>
      </c>
      <c r="J561" s="485">
        <v>15954</v>
      </c>
      <c r="K561" s="486">
        <v>16432</v>
      </c>
      <c r="L561" s="485">
        <v>75611</v>
      </c>
      <c r="M561" s="485">
        <v>4413</v>
      </c>
      <c r="N561" s="485"/>
      <c r="O561" s="486">
        <v>93407</v>
      </c>
      <c r="P561" s="486">
        <v>4632</v>
      </c>
      <c r="Q561" s="486">
        <v>0</v>
      </c>
      <c r="R561" s="485"/>
      <c r="S561" s="486"/>
      <c r="T561" s="483">
        <f t="shared" si="45"/>
        <v>166655</v>
      </c>
      <c r="U561" s="484">
        <f t="shared" si="41"/>
        <v>168370.5</v>
      </c>
      <c r="V561" s="485">
        <v>121763</v>
      </c>
      <c r="W561" s="486">
        <v>125528.5</v>
      </c>
      <c r="X561" s="485">
        <v>17736</v>
      </c>
      <c r="Y561" s="486">
        <v>11118.5</v>
      </c>
      <c r="Z561" s="485">
        <v>21684.5</v>
      </c>
      <c r="AA561" s="485">
        <v>5471.5</v>
      </c>
      <c r="AB561" s="485"/>
      <c r="AC561" s="486">
        <v>25520</v>
      </c>
      <c r="AD561" s="486">
        <v>6203.5</v>
      </c>
      <c r="AE561" s="486">
        <v>0</v>
      </c>
      <c r="AF561" s="485"/>
      <c r="AG561" s="486"/>
    </row>
    <row r="562" spans="1:33" s="28" customFormat="1" ht="12.75" customHeight="1">
      <c r="A562" s="75" t="s">
        <v>635</v>
      </c>
      <c r="B562" s="76" t="s">
        <v>637</v>
      </c>
      <c r="C562" s="77"/>
      <c r="D562" s="78">
        <v>232982</v>
      </c>
      <c r="E562" s="78">
        <v>1</v>
      </c>
      <c r="F562" s="483">
        <f t="shared" si="42"/>
        <v>514112</v>
      </c>
      <c r="G562" s="484">
        <f t="shared" si="43"/>
        <v>506785</v>
      </c>
      <c r="H562" s="485">
        <v>379205</v>
      </c>
      <c r="I562" s="486">
        <v>358145</v>
      </c>
      <c r="J562" s="485">
        <v>123</v>
      </c>
      <c r="K562" s="486">
        <v>158</v>
      </c>
      <c r="L562" s="485">
        <v>113591</v>
      </c>
      <c r="M562" s="485">
        <v>20957</v>
      </c>
      <c r="N562" s="485">
        <v>236</v>
      </c>
      <c r="O562" s="486">
        <v>127598</v>
      </c>
      <c r="P562" s="486">
        <v>20816</v>
      </c>
      <c r="Q562" s="486">
        <v>68</v>
      </c>
      <c r="R562" s="485"/>
      <c r="S562" s="486"/>
      <c r="T562" s="483">
        <f t="shared" si="45"/>
        <v>68109</v>
      </c>
      <c r="U562" s="484">
        <f t="shared" si="41"/>
        <v>68417</v>
      </c>
      <c r="V562" s="485">
        <v>34404</v>
      </c>
      <c r="W562" s="486">
        <v>33793</v>
      </c>
      <c r="X562" s="485">
        <v>400</v>
      </c>
      <c r="Y562" s="486">
        <v>322</v>
      </c>
      <c r="Z562" s="485">
        <v>19348</v>
      </c>
      <c r="AA562" s="485">
        <v>11664</v>
      </c>
      <c r="AB562" s="485">
        <v>2293</v>
      </c>
      <c r="AC562" s="486">
        <v>22370</v>
      </c>
      <c r="AD562" s="486">
        <v>10392</v>
      </c>
      <c r="AE562" s="486">
        <v>1540</v>
      </c>
      <c r="AF562" s="485"/>
      <c r="AG562" s="486"/>
    </row>
    <row r="563" spans="1:33" s="28" customFormat="1" ht="12.75" customHeight="1">
      <c r="A563" s="75" t="s">
        <v>635</v>
      </c>
      <c r="B563" s="76" t="s">
        <v>638</v>
      </c>
      <c r="C563" s="77"/>
      <c r="D563" s="78">
        <v>234076</v>
      </c>
      <c r="E563" s="78">
        <v>1</v>
      </c>
      <c r="F563" s="483">
        <f t="shared" si="42"/>
        <v>490976.5</v>
      </c>
      <c r="G563" s="484">
        <f t="shared" si="43"/>
        <v>497384</v>
      </c>
      <c r="H563" s="485">
        <v>467098.5</v>
      </c>
      <c r="I563" s="486">
        <v>471212.5</v>
      </c>
      <c r="J563" s="485">
        <v>17081</v>
      </c>
      <c r="K563" s="486">
        <v>16654.5</v>
      </c>
      <c r="L563" s="485">
        <v>5789</v>
      </c>
      <c r="M563" s="485">
        <v>1008</v>
      </c>
      <c r="N563" s="485"/>
      <c r="O563" s="486">
        <v>9061</v>
      </c>
      <c r="P563" s="486">
        <v>456</v>
      </c>
      <c r="Q563" s="486">
        <v>0</v>
      </c>
      <c r="R563" s="485"/>
      <c r="S563" s="486"/>
      <c r="T563" s="483">
        <f t="shared" si="45"/>
        <v>189753.5</v>
      </c>
      <c r="U563" s="484">
        <f t="shared" si="41"/>
        <v>194776</v>
      </c>
      <c r="V563" s="485">
        <v>169051</v>
      </c>
      <c r="W563" s="486">
        <v>169112.5</v>
      </c>
      <c r="X563" s="485">
        <v>10212</v>
      </c>
      <c r="Y563" s="486">
        <v>13129.5</v>
      </c>
      <c r="Z563" s="485">
        <v>9147</v>
      </c>
      <c r="AA563" s="485">
        <v>1343.5</v>
      </c>
      <c r="AB563" s="485"/>
      <c r="AC563" s="486">
        <v>10753</v>
      </c>
      <c r="AD563" s="486">
        <v>1781</v>
      </c>
      <c r="AE563" s="486">
        <v>0</v>
      </c>
      <c r="AF563" s="485"/>
      <c r="AG563" s="486"/>
    </row>
    <row r="564" spans="1:33" s="28" customFormat="1" ht="12.75" customHeight="1">
      <c r="A564" s="75" t="s">
        <v>635</v>
      </c>
      <c r="B564" s="76" t="s">
        <v>639</v>
      </c>
      <c r="C564" s="80"/>
      <c r="D564" s="78">
        <v>234030</v>
      </c>
      <c r="E564" s="78">
        <v>1</v>
      </c>
      <c r="F564" s="483">
        <f t="shared" si="42"/>
        <v>653057</v>
      </c>
      <c r="G564" s="484">
        <f t="shared" si="43"/>
        <v>644945.5</v>
      </c>
      <c r="H564" s="485">
        <v>587135</v>
      </c>
      <c r="I564" s="486">
        <v>573032</v>
      </c>
      <c r="J564" s="485">
        <v>8343</v>
      </c>
      <c r="K564" s="486">
        <v>7773</v>
      </c>
      <c r="L564" s="485">
        <v>56796</v>
      </c>
      <c r="M564" s="485">
        <v>783</v>
      </c>
      <c r="N564" s="485"/>
      <c r="O564" s="486">
        <v>62562.5</v>
      </c>
      <c r="P564" s="486">
        <v>1578</v>
      </c>
      <c r="Q564" s="486">
        <v>0</v>
      </c>
      <c r="R564" s="485"/>
      <c r="S564" s="486"/>
      <c r="T564" s="483">
        <f t="shared" si="45"/>
        <v>132449.5</v>
      </c>
      <c r="U564" s="484">
        <f t="shared" si="41"/>
        <v>133045.5</v>
      </c>
      <c r="V564" s="485">
        <v>115769.5</v>
      </c>
      <c r="W564" s="486">
        <v>114369.5</v>
      </c>
      <c r="X564" s="485">
        <v>4600</v>
      </c>
      <c r="Y564" s="486">
        <v>4092</v>
      </c>
      <c r="Z564" s="485">
        <v>11570</v>
      </c>
      <c r="AA564" s="485">
        <v>510</v>
      </c>
      <c r="AB564" s="485"/>
      <c r="AC564" s="486">
        <v>14084</v>
      </c>
      <c r="AD564" s="486">
        <v>500</v>
      </c>
      <c r="AE564" s="486">
        <v>0</v>
      </c>
      <c r="AF564" s="485"/>
      <c r="AG564" s="486"/>
    </row>
    <row r="565" spans="1:33">
      <c r="A565" s="75" t="s">
        <v>635</v>
      </c>
      <c r="B565" s="76" t="s">
        <v>640</v>
      </c>
      <c r="C565" s="77"/>
      <c r="D565" s="78">
        <v>233921</v>
      </c>
      <c r="E565" s="78">
        <v>1</v>
      </c>
      <c r="F565" s="483">
        <f t="shared" si="42"/>
        <v>825930</v>
      </c>
      <c r="G565" s="484">
        <f t="shared" si="43"/>
        <v>855575</v>
      </c>
      <c r="H565" s="485">
        <v>802681</v>
      </c>
      <c r="I565" s="486">
        <v>830986</v>
      </c>
      <c r="J565" s="485">
        <v>267</v>
      </c>
      <c r="K565" s="486">
        <v>295</v>
      </c>
      <c r="L565" s="485">
        <v>21678</v>
      </c>
      <c r="M565" s="485">
        <v>1304</v>
      </c>
      <c r="N565" s="485"/>
      <c r="O565" s="486">
        <v>22982</v>
      </c>
      <c r="P565" s="486">
        <v>1312</v>
      </c>
      <c r="Q565" s="486">
        <v>0</v>
      </c>
      <c r="R565" s="485"/>
      <c r="S565" s="486"/>
      <c r="T565" s="483">
        <f t="shared" si="45"/>
        <v>150006</v>
      </c>
      <c r="U565" s="484">
        <f t="shared" ref="U565:U628" si="46">SUM(W565,Y565,AC565,AD565,AE565,AG565)</f>
        <v>145354</v>
      </c>
      <c r="V565" s="485">
        <v>114608</v>
      </c>
      <c r="W565" s="486">
        <v>111242</v>
      </c>
      <c r="X565" s="485">
        <v>19771</v>
      </c>
      <c r="Y565" s="486">
        <v>18145</v>
      </c>
      <c r="Z565" s="485">
        <v>10971</v>
      </c>
      <c r="AA565" s="485">
        <v>4656</v>
      </c>
      <c r="AB565" s="485"/>
      <c r="AC565" s="486">
        <v>12177</v>
      </c>
      <c r="AD565" s="486">
        <v>3790</v>
      </c>
      <c r="AE565" s="486">
        <v>0</v>
      </c>
      <c r="AF565" s="485"/>
      <c r="AG565" s="486"/>
    </row>
    <row r="566" spans="1:33" s="28" customFormat="1" ht="12.75" customHeight="1">
      <c r="A566" s="75" t="s">
        <v>635</v>
      </c>
      <c r="B566" s="76" t="s">
        <v>641</v>
      </c>
      <c r="C566" s="77"/>
      <c r="D566" s="78">
        <v>231624</v>
      </c>
      <c r="E566" s="78">
        <v>2</v>
      </c>
      <c r="F566" s="483">
        <f t="shared" si="42"/>
        <v>186460.5</v>
      </c>
      <c r="G566" s="484">
        <f t="shared" si="43"/>
        <v>186440.5</v>
      </c>
      <c r="H566" s="485">
        <v>180682.5</v>
      </c>
      <c r="I566" s="486">
        <v>181070.5</v>
      </c>
      <c r="J566" s="485">
        <v>5127</v>
      </c>
      <c r="K566" s="486">
        <v>4630</v>
      </c>
      <c r="L566" s="485">
        <v>635</v>
      </c>
      <c r="M566" s="485">
        <v>16</v>
      </c>
      <c r="N566" s="485"/>
      <c r="O566" s="486">
        <v>720</v>
      </c>
      <c r="P566" s="486">
        <v>20</v>
      </c>
      <c r="Q566" s="486">
        <v>0</v>
      </c>
      <c r="R566" s="485"/>
      <c r="S566" s="486"/>
      <c r="T566" s="483">
        <f t="shared" si="45"/>
        <v>61157.5</v>
      </c>
      <c r="U566" s="484">
        <f t="shared" si="46"/>
        <v>61312.5</v>
      </c>
      <c r="V566" s="485">
        <v>50384</v>
      </c>
      <c r="W566" s="486">
        <v>48944</v>
      </c>
      <c r="X566" s="485">
        <v>5022.5</v>
      </c>
      <c r="Y566" s="486">
        <v>4751.5</v>
      </c>
      <c r="Z566" s="485">
        <v>5631</v>
      </c>
      <c r="AA566" s="485">
        <v>120</v>
      </c>
      <c r="AB566" s="485"/>
      <c r="AC566" s="486">
        <v>7587</v>
      </c>
      <c r="AD566" s="486">
        <v>30</v>
      </c>
      <c r="AE566" s="486">
        <v>0</v>
      </c>
      <c r="AF566" s="485"/>
      <c r="AG566" s="486"/>
    </row>
    <row r="567" spans="1:33" s="28" customFormat="1" ht="15" customHeight="1">
      <c r="A567" s="75" t="s">
        <v>635</v>
      </c>
      <c r="B567" s="76" t="s">
        <v>642</v>
      </c>
      <c r="C567" s="154"/>
      <c r="D567" s="78">
        <v>232423</v>
      </c>
      <c r="E567" s="78">
        <v>3</v>
      </c>
      <c r="F567" s="483">
        <f t="shared" si="42"/>
        <v>587745</v>
      </c>
      <c r="G567" s="484">
        <f t="shared" si="43"/>
        <v>592536</v>
      </c>
      <c r="H567" s="485">
        <v>545870</v>
      </c>
      <c r="I567" s="486">
        <v>548934</v>
      </c>
      <c r="J567" s="485">
        <v>11733</v>
      </c>
      <c r="K567" s="486">
        <v>12348</v>
      </c>
      <c r="L567" s="485">
        <v>30142</v>
      </c>
      <c r="M567" s="485">
        <v>0</v>
      </c>
      <c r="N567" s="485"/>
      <c r="O567" s="486">
        <v>30996</v>
      </c>
      <c r="P567" s="486">
        <v>258</v>
      </c>
      <c r="Q567" s="486">
        <v>0</v>
      </c>
      <c r="R567" s="485"/>
      <c r="S567" s="486"/>
      <c r="T567" s="483">
        <f t="shared" si="45"/>
        <v>35265</v>
      </c>
      <c r="U567" s="484">
        <f t="shared" si="46"/>
        <v>35833</v>
      </c>
      <c r="V567" s="485">
        <v>25614</v>
      </c>
      <c r="W567" s="486">
        <v>25141</v>
      </c>
      <c r="X567" s="485">
        <v>3060</v>
      </c>
      <c r="Y567" s="486">
        <v>2846</v>
      </c>
      <c r="Z567" s="485">
        <v>6591</v>
      </c>
      <c r="AA567" s="485">
        <v>0</v>
      </c>
      <c r="AB567" s="485"/>
      <c r="AC567" s="486">
        <v>7846</v>
      </c>
      <c r="AD567" s="486">
        <v>0</v>
      </c>
      <c r="AE567" s="486">
        <v>0</v>
      </c>
      <c r="AF567" s="485"/>
      <c r="AG567" s="486"/>
    </row>
    <row r="568" spans="1:33" ht="15">
      <c r="A568" s="75" t="s">
        <v>635</v>
      </c>
      <c r="B568" s="76" t="s">
        <v>643</v>
      </c>
      <c r="C568" s="154" t="s">
        <v>959</v>
      </c>
      <c r="D568" s="78">
        <v>232566</v>
      </c>
      <c r="E568" s="78">
        <v>3</v>
      </c>
      <c r="F568" s="483">
        <f t="shared" si="42"/>
        <v>128203.5</v>
      </c>
      <c r="G568" s="484">
        <f t="shared" si="43"/>
        <v>124140</v>
      </c>
      <c r="H568" s="485">
        <v>112452.5</v>
      </c>
      <c r="I568" s="486">
        <v>108948</v>
      </c>
      <c r="J568" s="485">
        <v>2635</v>
      </c>
      <c r="K568" s="486">
        <v>2644</v>
      </c>
      <c r="L568" s="485">
        <v>13095</v>
      </c>
      <c r="M568" s="485">
        <v>21</v>
      </c>
      <c r="N568" s="485"/>
      <c r="O568" s="486">
        <v>12548</v>
      </c>
      <c r="P568" s="486">
        <v>0</v>
      </c>
      <c r="Q568" s="486">
        <v>0</v>
      </c>
      <c r="R568" s="485"/>
      <c r="S568" s="486"/>
      <c r="T568" s="483">
        <f t="shared" si="45"/>
        <v>9908</v>
      </c>
      <c r="U568" s="484">
        <f t="shared" si="46"/>
        <v>10679</v>
      </c>
      <c r="V568" s="485">
        <v>3936</v>
      </c>
      <c r="W568" s="486">
        <v>3719</v>
      </c>
      <c r="X568" s="485">
        <v>2763</v>
      </c>
      <c r="Y568" s="486">
        <v>3202</v>
      </c>
      <c r="Z568" s="485">
        <v>3125</v>
      </c>
      <c r="AA568" s="485">
        <v>84</v>
      </c>
      <c r="AB568" s="485"/>
      <c r="AC568" s="486">
        <v>3680</v>
      </c>
      <c r="AD568" s="486">
        <v>78</v>
      </c>
      <c r="AE568" s="486">
        <v>0</v>
      </c>
      <c r="AF568" s="485"/>
      <c r="AG568" s="486"/>
    </row>
    <row r="569" spans="1:33" s="28" customFormat="1" ht="12.75" customHeight="1">
      <c r="A569" s="75" t="s">
        <v>635</v>
      </c>
      <c r="B569" s="76" t="s">
        <v>644</v>
      </c>
      <c r="C569" s="154" t="s">
        <v>935</v>
      </c>
      <c r="D569" s="78">
        <v>232937</v>
      </c>
      <c r="E569" s="78">
        <v>3</v>
      </c>
      <c r="F569" s="483">
        <f t="shared" si="42"/>
        <v>127997</v>
      </c>
      <c r="G569" s="484">
        <f t="shared" si="43"/>
        <v>127882</v>
      </c>
      <c r="H569" s="485">
        <v>100320</v>
      </c>
      <c r="I569" s="486">
        <v>99672</v>
      </c>
      <c r="J569" s="485">
        <v>1109</v>
      </c>
      <c r="K569" s="486">
        <v>313</v>
      </c>
      <c r="L569" s="485">
        <v>26568</v>
      </c>
      <c r="M569" s="485">
        <v>0</v>
      </c>
      <c r="N569" s="485"/>
      <c r="O569" s="486">
        <v>27897</v>
      </c>
      <c r="P569" s="486">
        <v>0</v>
      </c>
      <c r="Q569" s="486">
        <v>0</v>
      </c>
      <c r="R569" s="485"/>
      <c r="S569" s="486"/>
      <c r="T569" s="483">
        <f t="shared" si="45"/>
        <v>11736</v>
      </c>
      <c r="U569" s="484">
        <f t="shared" si="46"/>
        <v>10883</v>
      </c>
      <c r="V569" s="485">
        <v>9093</v>
      </c>
      <c r="W569" s="486">
        <v>8396</v>
      </c>
      <c r="X569" s="485">
        <v>0</v>
      </c>
      <c r="Y569" s="486">
        <v>12</v>
      </c>
      <c r="Z569" s="485">
        <v>2643</v>
      </c>
      <c r="AA569" s="485">
        <v>0</v>
      </c>
      <c r="AB569" s="485"/>
      <c r="AC569" s="486">
        <v>2475</v>
      </c>
      <c r="AD569" s="486">
        <v>0</v>
      </c>
      <c r="AE569" s="486">
        <v>0</v>
      </c>
      <c r="AF569" s="485"/>
      <c r="AG569" s="486"/>
    </row>
    <row r="570" spans="1:33" s="28" customFormat="1" ht="15" customHeight="1">
      <c r="A570" s="75" t="s">
        <v>635</v>
      </c>
      <c r="B570" s="76" t="s">
        <v>645</v>
      </c>
      <c r="C570" s="154"/>
      <c r="D570" s="78">
        <v>233277</v>
      </c>
      <c r="E570" s="78">
        <v>3</v>
      </c>
      <c r="F570" s="483">
        <f t="shared" si="42"/>
        <v>248697.5</v>
      </c>
      <c r="G570" s="484">
        <f t="shared" si="43"/>
        <v>237754.7</v>
      </c>
      <c r="H570" s="485">
        <v>218310</v>
      </c>
      <c r="I570" s="486">
        <v>204927</v>
      </c>
      <c r="J570" s="485">
        <v>3788.5</v>
      </c>
      <c r="K570" s="486">
        <v>3936.7</v>
      </c>
      <c r="L570" s="485">
        <v>25066</v>
      </c>
      <c r="M570" s="485">
        <v>1533</v>
      </c>
      <c r="N570" s="485"/>
      <c r="O570" s="486">
        <v>28310</v>
      </c>
      <c r="P570" s="486">
        <v>581</v>
      </c>
      <c r="Q570" s="486">
        <v>0</v>
      </c>
      <c r="R570" s="485"/>
      <c r="S570" s="486"/>
      <c r="T570" s="483">
        <f t="shared" si="45"/>
        <v>20776</v>
      </c>
      <c r="U570" s="484">
        <f t="shared" si="46"/>
        <v>21771</v>
      </c>
      <c r="V570" s="485">
        <v>10895</v>
      </c>
      <c r="W570" s="486">
        <v>10609</v>
      </c>
      <c r="X570" s="485">
        <v>3882</v>
      </c>
      <c r="Y570" s="486">
        <v>4594</v>
      </c>
      <c r="Z570" s="485">
        <v>4133</v>
      </c>
      <c r="AA570" s="485">
        <v>1866</v>
      </c>
      <c r="AB570" s="485"/>
      <c r="AC570" s="486">
        <v>4521</v>
      </c>
      <c r="AD570" s="486">
        <v>2047</v>
      </c>
      <c r="AE570" s="486">
        <v>0</v>
      </c>
      <c r="AF570" s="485"/>
      <c r="AG570" s="486"/>
    </row>
    <row r="571" spans="1:33" s="28" customFormat="1" ht="15" customHeight="1">
      <c r="A571" s="75" t="s">
        <v>635</v>
      </c>
      <c r="B571" s="76" t="s">
        <v>646</v>
      </c>
      <c r="C571" s="154" t="s">
        <v>959</v>
      </c>
      <c r="D571" s="78">
        <v>232681</v>
      </c>
      <c r="E571" s="78">
        <v>3</v>
      </c>
      <c r="F571" s="483">
        <f t="shared" si="42"/>
        <v>122638</v>
      </c>
      <c r="G571" s="484">
        <f t="shared" si="43"/>
        <v>122842</v>
      </c>
      <c r="H571" s="485">
        <v>114512</v>
      </c>
      <c r="I571" s="486">
        <v>113852</v>
      </c>
      <c r="J571" s="485">
        <v>0</v>
      </c>
      <c r="K571" s="486">
        <v>0</v>
      </c>
      <c r="L571" s="485">
        <v>8015</v>
      </c>
      <c r="M571" s="485">
        <v>111</v>
      </c>
      <c r="N571" s="485"/>
      <c r="O571" s="486">
        <v>8842</v>
      </c>
      <c r="P571" s="486">
        <v>148</v>
      </c>
      <c r="Q571" s="486">
        <v>0</v>
      </c>
      <c r="R571" s="485"/>
      <c r="S571" s="486"/>
      <c r="T571" s="483">
        <f t="shared" si="45"/>
        <v>6063</v>
      </c>
      <c r="U571" s="484">
        <f t="shared" si="46"/>
        <v>5422.4</v>
      </c>
      <c r="V571" s="485">
        <v>4053.2</v>
      </c>
      <c r="W571" s="486">
        <v>3174.4</v>
      </c>
      <c r="X571" s="485">
        <v>0</v>
      </c>
      <c r="Y571" s="486">
        <v>0</v>
      </c>
      <c r="Z571" s="485">
        <v>2009.8</v>
      </c>
      <c r="AA571" s="485">
        <v>0</v>
      </c>
      <c r="AB571" s="485"/>
      <c r="AC571" s="486">
        <v>2248</v>
      </c>
      <c r="AD571" s="486">
        <v>0</v>
      </c>
      <c r="AE571" s="486">
        <v>0</v>
      </c>
      <c r="AF571" s="485"/>
      <c r="AG571" s="486"/>
    </row>
    <row r="572" spans="1:33" s="28" customFormat="1" ht="15" customHeight="1">
      <c r="A572" s="75" t="s">
        <v>635</v>
      </c>
      <c r="B572" s="76" t="s">
        <v>647</v>
      </c>
      <c r="C572" s="154"/>
      <c r="D572" s="78">
        <v>234155</v>
      </c>
      <c r="E572" s="78">
        <v>3</v>
      </c>
      <c r="F572" s="483">
        <f t="shared" si="42"/>
        <v>127084.1</v>
      </c>
      <c r="G572" s="484">
        <f t="shared" si="43"/>
        <v>122711</v>
      </c>
      <c r="H572" s="485">
        <v>117214.1</v>
      </c>
      <c r="I572" s="486">
        <v>106760</v>
      </c>
      <c r="J572" s="485">
        <v>540</v>
      </c>
      <c r="K572" s="486">
        <v>297</v>
      </c>
      <c r="L572" s="485">
        <v>9330</v>
      </c>
      <c r="M572" s="485">
        <v>0</v>
      </c>
      <c r="N572" s="485"/>
      <c r="O572" s="486">
        <v>15654</v>
      </c>
      <c r="P572" s="486">
        <v>0</v>
      </c>
      <c r="Q572" s="486">
        <v>0</v>
      </c>
      <c r="R572" s="485"/>
      <c r="S572" s="486"/>
      <c r="T572" s="483">
        <f t="shared" si="45"/>
        <v>6759</v>
      </c>
      <c r="U572" s="484">
        <f t="shared" si="46"/>
        <v>6123</v>
      </c>
      <c r="V572" s="485">
        <v>6621</v>
      </c>
      <c r="W572" s="486">
        <v>5493</v>
      </c>
      <c r="X572" s="485">
        <v>27</v>
      </c>
      <c r="Y572" s="486">
        <v>0</v>
      </c>
      <c r="Z572" s="485">
        <v>111</v>
      </c>
      <c r="AA572" s="485">
        <v>0</v>
      </c>
      <c r="AB572" s="485"/>
      <c r="AC572" s="486">
        <v>630</v>
      </c>
      <c r="AD572" s="486">
        <v>0</v>
      </c>
      <c r="AE572" s="486">
        <v>0</v>
      </c>
      <c r="AF572" s="485"/>
      <c r="AG572" s="486"/>
    </row>
    <row r="573" spans="1:33" s="28" customFormat="1" ht="15" customHeight="1">
      <c r="A573" s="75" t="s">
        <v>635</v>
      </c>
      <c r="B573" s="76" t="s">
        <v>648</v>
      </c>
      <c r="C573" s="154"/>
      <c r="D573" s="78">
        <v>231712</v>
      </c>
      <c r="E573" s="78">
        <v>5</v>
      </c>
      <c r="F573" s="483">
        <f t="shared" si="42"/>
        <v>144046</v>
      </c>
      <c r="G573" s="484">
        <f t="shared" si="43"/>
        <v>141653</v>
      </c>
      <c r="H573" s="485">
        <v>143280</v>
      </c>
      <c r="I573" s="486">
        <v>141111</v>
      </c>
      <c r="J573" s="485">
        <v>766</v>
      </c>
      <c r="K573" s="486">
        <v>542</v>
      </c>
      <c r="L573" s="485">
        <v>0</v>
      </c>
      <c r="M573" s="485">
        <v>0</v>
      </c>
      <c r="N573" s="485"/>
      <c r="O573" s="486">
        <v>0</v>
      </c>
      <c r="P573" s="486">
        <v>0</v>
      </c>
      <c r="Q573" s="486">
        <v>0</v>
      </c>
      <c r="R573" s="485"/>
      <c r="S573" s="486"/>
      <c r="T573" s="483">
        <f t="shared" si="45"/>
        <v>3412</v>
      </c>
      <c r="U573" s="484">
        <f t="shared" si="46"/>
        <v>3022</v>
      </c>
      <c r="V573" s="485">
        <v>3355</v>
      </c>
      <c r="W573" s="486">
        <v>2980</v>
      </c>
      <c r="X573" s="485">
        <v>57</v>
      </c>
      <c r="Y573" s="486">
        <v>42</v>
      </c>
      <c r="Z573" s="485">
        <v>0</v>
      </c>
      <c r="AA573" s="485"/>
      <c r="AB573" s="485"/>
      <c r="AC573" s="486"/>
      <c r="AD573" s="486"/>
      <c r="AE573" s="486"/>
      <c r="AF573" s="485"/>
      <c r="AG573" s="486"/>
    </row>
    <row r="574" spans="1:33" s="28" customFormat="1" ht="15" customHeight="1">
      <c r="A574" s="75" t="s">
        <v>635</v>
      </c>
      <c r="B574" s="76" t="s">
        <v>649</v>
      </c>
      <c r="C574" s="154"/>
      <c r="D574" s="78">
        <v>233897</v>
      </c>
      <c r="E574" s="78">
        <v>6</v>
      </c>
      <c r="F574" s="483">
        <f t="shared" si="42"/>
        <v>47928</v>
      </c>
      <c r="G574" s="484">
        <f t="shared" si="43"/>
        <v>46337</v>
      </c>
      <c r="H574" s="485">
        <v>37089</v>
      </c>
      <c r="I574" s="486">
        <v>34821</v>
      </c>
      <c r="J574" s="485">
        <v>0</v>
      </c>
      <c r="K574" s="486">
        <v>0</v>
      </c>
      <c r="L574" s="485">
        <v>10839</v>
      </c>
      <c r="M574" s="485">
        <v>0</v>
      </c>
      <c r="N574" s="485"/>
      <c r="O574" s="486">
        <v>11516</v>
      </c>
      <c r="P574" s="486">
        <v>0</v>
      </c>
      <c r="Q574" s="486">
        <v>0</v>
      </c>
      <c r="R574" s="485"/>
      <c r="S574" s="486"/>
      <c r="T574" s="483">
        <f t="shared" si="45"/>
        <v>0</v>
      </c>
      <c r="U574" s="484">
        <f t="shared" si="46"/>
        <v>0</v>
      </c>
      <c r="V574" s="485"/>
      <c r="W574" s="486"/>
      <c r="X574" s="485"/>
      <c r="Y574" s="486"/>
      <c r="Z574" s="485"/>
      <c r="AA574" s="485"/>
      <c r="AB574" s="485"/>
      <c r="AC574" s="486"/>
      <c r="AD574" s="486"/>
      <c r="AE574" s="486"/>
      <c r="AF574" s="485"/>
      <c r="AG574" s="486"/>
    </row>
    <row r="575" spans="1:33" s="28" customFormat="1" ht="15" customHeight="1">
      <c r="A575" s="75" t="s">
        <v>635</v>
      </c>
      <c r="B575" s="76" t="s">
        <v>650</v>
      </c>
      <c r="C575" s="154"/>
      <c r="D575" s="78">
        <v>232414</v>
      </c>
      <c r="E575" s="78">
        <v>8</v>
      </c>
      <c r="F575" s="483">
        <f t="shared" si="42"/>
        <v>180457</v>
      </c>
      <c r="G575" s="484">
        <f t="shared" si="43"/>
        <v>168782</v>
      </c>
      <c r="H575" s="485">
        <v>103895</v>
      </c>
      <c r="I575" s="486">
        <v>92423</v>
      </c>
      <c r="J575" s="485">
        <v>12870</v>
      </c>
      <c r="K575" s="486">
        <v>13808</v>
      </c>
      <c r="L575" s="485">
        <v>63602</v>
      </c>
      <c r="M575" s="485">
        <v>90</v>
      </c>
      <c r="N575" s="485"/>
      <c r="O575" s="486">
        <v>62479</v>
      </c>
      <c r="P575" s="486">
        <v>72</v>
      </c>
      <c r="Q575" s="486">
        <v>0</v>
      </c>
      <c r="R575" s="485"/>
      <c r="S575" s="486"/>
      <c r="T575" s="483">
        <f t="shared" si="45"/>
        <v>0</v>
      </c>
      <c r="U575" s="484">
        <f t="shared" si="46"/>
        <v>0</v>
      </c>
      <c r="V575" s="485"/>
      <c r="W575" s="486"/>
      <c r="X575" s="485"/>
      <c r="Y575" s="486"/>
      <c r="Z575" s="485"/>
      <c r="AA575" s="485"/>
      <c r="AB575" s="485"/>
      <c r="AC575" s="486"/>
      <c r="AD575" s="486"/>
      <c r="AE575" s="486"/>
      <c r="AF575" s="485"/>
      <c r="AG575" s="486"/>
    </row>
    <row r="576" spans="1:33" s="28" customFormat="1" ht="15" customHeight="1">
      <c r="A576" s="75" t="s">
        <v>635</v>
      </c>
      <c r="B576" s="76" t="s">
        <v>651</v>
      </c>
      <c r="C576" s="154"/>
      <c r="D576" s="78">
        <v>232450</v>
      </c>
      <c r="E576" s="78">
        <v>8</v>
      </c>
      <c r="F576" s="483">
        <f t="shared" si="42"/>
        <v>164559</v>
      </c>
      <c r="G576" s="484">
        <f t="shared" si="43"/>
        <v>164153</v>
      </c>
      <c r="H576" s="485">
        <v>87885</v>
      </c>
      <c r="I576" s="486">
        <v>84765</v>
      </c>
      <c r="J576" s="485">
        <v>24470</v>
      </c>
      <c r="K576" s="486">
        <v>26618</v>
      </c>
      <c r="L576" s="485">
        <v>52086</v>
      </c>
      <c r="M576" s="485">
        <v>118</v>
      </c>
      <c r="N576" s="485"/>
      <c r="O576" s="486">
        <v>52670</v>
      </c>
      <c r="P576" s="486">
        <v>100</v>
      </c>
      <c r="Q576" s="486">
        <v>0</v>
      </c>
      <c r="R576" s="485"/>
      <c r="S576" s="486"/>
      <c r="T576" s="483">
        <f t="shared" si="45"/>
        <v>0</v>
      </c>
      <c r="U576" s="484">
        <f t="shared" si="46"/>
        <v>0</v>
      </c>
      <c r="V576" s="485"/>
      <c r="W576" s="486"/>
      <c r="X576" s="485"/>
      <c r="Y576" s="486"/>
      <c r="Z576" s="485"/>
      <c r="AA576" s="485"/>
      <c r="AB576" s="485"/>
      <c r="AC576" s="486"/>
      <c r="AD576" s="486"/>
      <c r="AE576" s="486"/>
      <c r="AF576" s="485"/>
      <c r="AG576" s="486"/>
    </row>
    <row r="577" spans="1:33" s="28" customFormat="1" ht="15" customHeight="1">
      <c r="A577" s="75" t="s">
        <v>635</v>
      </c>
      <c r="B577" s="76" t="s">
        <v>652</v>
      </c>
      <c r="C577" s="154"/>
      <c r="D577" s="78">
        <v>232946</v>
      </c>
      <c r="E577" s="78">
        <v>8</v>
      </c>
      <c r="F577" s="483">
        <f t="shared" si="42"/>
        <v>978221</v>
      </c>
      <c r="G577" s="484">
        <f t="shared" si="43"/>
        <v>951259</v>
      </c>
      <c r="H577" s="485">
        <v>672226</v>
      </c>
      <c r="I577" s="486">
        <v>628164</v>
      </c>
      <c r="J577" s="485">
        <v>78830</v>
      </c>
      <c r="K577" s="486">
        <v>97572</v>
      </c>
      <c r="L577" s="485">
        <v>226022</v>
      </c>
      <c r="M577" s="485">
        <v>1143</v>
      </c>
      <c r="N577" s="485"/>
      <c r="O577" s="486">
        <v>225169</v>
      </c>
      <c r="P577" s="486">
        <v>354</v>
      </c>
      <c r="Q577" s="486">
        <v>0</v>
      </c>
      <c r="R577" s="485"/>
      <c r="S577" s="486"/>
      <c r="T577" s="483">
        <f t="shared" si="45"/>
        <v>0</v>
      </c>
      <c r="U577" s="484">
        <f t="shared" si="46"/>
        <v>0</v>
      </c>
      <c r="V577" s="485"/>
      <c r="W577" s="486"/>
      <c r="X577" s="485"/>
      <c r="Y577" s="486"/>
      <c r="Z577" s="485"/>
      <c r="AA577" s="485"/>
      <c r="AB577" s="485"/>
      <c r="AC577" s="486"/>
      <c r="AD577" s="486"/>
      <c r="AE577" s="486"/>
      <c r="AF577" s="485"/>
      <c r="AG577" s="486"/>
    </row>
    <row r="578" spans="1:33" s="28" customFormat="1" ht="15" customHeight="1">
      <c r="A578" s="75" t="s">
        <v>635</v>
      </c>
      <c r="B578" s="76" t="s">
        <v>653</v>
      </c>
      <c r="C578" s="154"/>
      <c r="D578" s="78">
        <v>233754</v>
      </c>
      <c r="E578" s="78">
        <v>8</v>
      </c>
      <c r="F578" s="483">
        <f t="shared" si="42"/>
        <v>161970</v>
      </c>
      <c r="G578" s="484">
        <f t="shared" si="43"/>
        <v>150814</v>
      </c>
      <c r="H578" s="485">
        <v>95114</v>
      </c>
      <c r="I578" s="486">
        <v>82502</v>
      </c>
      <c r="J578" s="485">
        <v>13134</v>
      </c>
      <c r="K578" s="486">
        <v>14295</v>
      </c>
      <c r="L578" s="485">
        <v>53618</v>
      </c>
      <c r="M578" s="485">
        <v>104</v>
      </c>
      <c r="N578" s="485"/>
      <c r="O578" s="486">
        <v>53819</v>
      </c>
      <c r="P578" s="486">
        <v>198</v>
      </c>
      <c r="Q578" s="486">
        <v>0</v>
      </c>
      <c r="R578" s="485"/>
      <c r="S578" s="486"/>
      <c r="T578" s="483">
        <f t="shared" si="45"/>
        <v>0</v>
      </c>
      <c r="U578" s="484">
        <f t="shared" si="46"/>
        <v>0</v>
      </c>
      <c r="V578" s="485"/>
      <c r="W578" s="486"/>
      <c r="X578" s="485"/>
      <c r="Y578" s="486"/>
      <c r="Z578" s="485"/>
      <c r="AA578" s="485"/>
      <c r="AB578" s="485"/>
      <c r="AC578" s="486"/>
      <c r="AD578" s="486"/>
      <c r="AE578" s="486"/>
      <c r="AF578" s="485"/>
      <c r="AG578" s="486"/>
    </row>
    <row r="579" spans="1:33" s="28" customFormat="1" ht="15" customHeight="1">
      <c r="A579" s="75" t="s">
        <v>635</v>
      </c>
      <c r="B579" s="76" t="s">
        <v>654</v>
      </c>
      <c r="C579" s="154"/>
      <c r="D579" s="78">
        <v>233772</v>
      </c>
      <c r="E579" s="78">
        <v>8</v>
      </c>
      <c r="F579" s="483">
        <f t="shared" si="42"/>
        <v>463965</v>
      </c>
      <c r="G579" s="484">
        <f t="shared" si="43"/>
        <v>430782</v>
      </c>
      <c r="H579" s="485">
        <v>286767</v>
      </c>
      <c r="I579" s="486">
        <v>256638</v>
      </c>
      <c r="J579" s="485">
        <v>30441</v>
      </c>
      <c r="K579" s="486">
        <v>29329</v>
      </c>
      <c r="L579" s="485">
        <v>146642</v>
      </c>
      <c r="M579" s="485">
        <v>115</v>
      </c>
      <c r="N579" s="485"/>
      <c r="O579" s="486">
        <v>144740</v>
      </c>
      <c r="P579" s="486">
        <v>75</v>
      </c>
      <c r="Q579" s="486">
        <v>0</v>
      </c>
      <c r="R579" s="485"/>
      <c r="S579" s="486"/>
      <c r="T579" s="483">
        <f t="shared" si="45"/>
        <v>0</v>
      </c>
      <c r="U579" s="484">
        <f t="shared" si="46"/>
        <v>0</v>
      </c>
      <c r="V579" s="485"/>
      <c r="W579" s="486"/>
      <c r="X579" s="485"/>
      <c r="Y579" s="486"/>
      <c r="Z579" s="485"/>
      <c r="AA579" s="485"/>
      <c r="AB579" s="485"/>
      <c r="AC579" s="486"/>
      <c r="AD579" s="486"/>
      <c r="AE579" s="486"/>
      <c r="AF579" s="485"/>
      <c r="AG579" s="486"/>
    </row>
    <row r="580" spans="1:33" s="28" customFormat="1" ht="15" customHeight="1">
      <c r="A580" s="75" t="s">
        <v>635</v>
      </c>
      <c r="B580" s="76" t="s">
        <v>655</v>
      </c>
      <c r="C580" s="154"/>
      <c r="D580" s="78">
        <v>231536</v>
      </c>
      <c r="E580" s="78">
        <v>9</v>
      </c>
      <c r="F580" s="483">
        <f t="shared" si="42"/>
        <v>72356</v>
      </c>
      <c r="G580" s="484">
        <f t="shared" si="43"/>
        <v>71838</v>
      </c>
      <c r="H580" s="485">
        <v>35543</v>
      </c>
      <c r="I580" s="486">
        <v>34159</v>
      </c>
      <c r="J580" s="485">
        <v>8127</v>
      </c>
      <c r="K580" s="486">
        <v>8975</v>
      </c>
      <c r="L580" s="485">
        <v>28686</v>
      </c>
      <c r="M580" s="485">
        <v>0</v>
      </c>
      <c r="N580" s="485"/>
      <c r="O580" s="486">
        <v>28704</v>
      </c>
      <c r="P580" s="486">
        <v>0</v>
      </c>
      <c r="Q580" s="486">
        <v>0</v>
      </c>
      <c r="R580" s="485"/>
      <c r="S580" s="486"/>
      <c r="T580" s="483">
        <f t="shared" si="45"/>
        <v>0</v>
      </c>
      <c r="U580" s="484">
        <f t="shared" si="46"/>
        <v>0</v>
      </c>
      <c r="V580" s="485"/>
      <c r="W580" s="486"/>
      <c r="X580" s="485"/>
      <c r="Y580" s="486"/>
      <c r="Z580" s="485"/>
      <c r="AA580" s="485"/>
      <c r="AB580" s="485"/>
      <c r="AC580" s="486"/>
      <c r="AD580" s="486"/>
      <c r="AE580" s="486"/>
      <c r="AF580" s="485"/>
      <c r="AG580" s="486"/>
    </row>
    <row r="581" spans="1:33" s="28" customFormat="1" ht="15" customHeight="1">
      <c r="A581" s="75" t="s">
        <v>635</v>
      </c>
      <c r="B581" s="76" t="s">
        <v>656</v>
      </c>
      <c r="C581" s="154"/>
      <c r="D581" s="78">
        <v>231697</v>
      </c>
      <c r="E581" s="78">
        <v>9</v>
      </c>
      <c r="F581" s="483">
        <f t="shared" si="42"/>
        <v>73003</v>
      </c>
      <c r="G581" s="484">
        <f t="shared" si="43"/>
        <v>72190</v>
      </c>
      <c r="H581" s="485">
        <v>39901</v>
      </c>
      <c r="I581" s="486">
        <v>37088</v>
      </c>
      <c r="J581" s="485">
        <v>14245</v>
      </c>
      <c r="K581" s="486">
        <v>14862</v>
      </c>
      <c r="L581" s="485">
        <v>15364</v>
      </c>
      <c r="M581" s="485">
        <v>3493</v>
      </c>
      <c r="N581" s="485"/>
      <c r="O581" s="486">
        <v>16476</v>
      </c>
      <c r="P581" s="486">
        <v>3764</v>
      </c>
      <c r="Q581" s="486">
        <v>0</v>
      </c>
      <c r="R581" s="485"/>
      <c r="S581" s="486"/>
      <c r="T581" s="483">
        <f t="shared" si="45"/>
        <v>0</v>
      </c>
      <c r="U581" s="484">
        <f t="shared" si="46"/>
        <v>0</v>
      </c>
      <c r="V581" s="485"/>
      <c r="W581" s="486"/>
      <c r="X581" s="485"/>
      <c r="Y581" s="486"/>
      <c r="Z581" s="485"/>
      <c r="AA581" s="485"/>
      <c r="AB581" s="485"/>
      <c r="AC581" s="486"/>
      <c r="AD581" s="486"/>
      <c r="AE581" s="486"/>
      <c r="AF581" s="485"/>
      <c r="AG581" s="486"/>
    </row>
    <row r="582" spans="1:33" s="28" customFormat="1" ht="15" customHeight="1">
      <c r="A582" s="75" t="s">
        <v>635</v>
      </c>
      <c r="B582" s="76" t="s">
        <v>657</v>
      </c>
      <c r="C582" s="156" t="s">
        <v>978</v>
      </c>
      <c r="D582" s="78">
        <v>231882</v>
      </c>
      <c r="E582" s="82">
        <v>10</v>
      </c>
      <c r="F582" s="483">
        <f t="shared" si="42"/>
        <v>58158</v>
      </c>
      <c r="G582" s="484">
        <f t="shared" si="43"/>
        <v>52844</v>
      </c>
      <c r="H582" s="485">
        <v>27684</v>
      </c>
      <c r="I582" s="486">
        <v>25954</v>
      </c>
      <c r="J582" s="485">
        <v>22609</v>
      </c>
      <c r="K582" s="486">
        <v>18128</v>
      </c>
      <c r="L582" s="485">
        <v>6960</v>
      </c>
      <c r="M582" s="485">
        <v>905</v>
      </c>
      <c r="N582" s="485"/>
      <c r="O582" s="486">
        <v>8013</v>
      </c>
      <c r="P582" s="486">
        <v>749</v>
      </c>
      <c r="Q582" s="486">
        <v>0</v>
      </c>
      <c r="R582" s="485"/>
      <c r="S582" s="486"/>
      <c r="T582" s="483">
        <f t="shared" si="45"/>
        <v>0</v>
      </c>
      <c r="U582" s="484">
        <f t="shared" si="46"/>
        <v>0</v>
      </c>
      <c r="V582" s="485"/>
      <c r="W582" s="486"/>
      <c r="X582" s="485"/>
      <c r="Y582" s="486"/>
      <c r="Z582" s="485"/>
      <c r="AA582" s="485"/>
      <c r="AB582" s="485"/>
      <c r="AC582" s="486"/>
      <c r="AD582" s="486"/>
      <c r="AE582" s="486"/>
      <c r="AF582" s="485"/>
      <c r="AG582" s="486"/>
    </row>
    <row r="583" spans="1:33" s="28" customFormat="1" ht="15" customHeight="1">
      <c r="A583" s="75" t="s">
        <v>635</v>
      </c>
      <c r="B583" s="76" t="s">
        <v>658</v>
      </c>
      <c r="C583" s="154"/>
      <c r="D583" s="78">
        <v>232195</v>
      </c>
      <c r="E583" s="78">
        <v>9</v>
      </c>
      <c r="F583" s="483">
        <f t="shared" si="42"/>
        <v>123961</v>
      </c>
      <c r="G583" s="484">
        <f t="shared" si="43"/>
        <v>125951</v>
      </c>
      <c r="H583" s="485">
        <v>64197</v>
      </c>
      <c r="I583" s="486">
        <v>61197</v>
      </c>
      <c r="J583" s="485">
        <v>14198</v>
      </c>
      <c r="K583" s="486">
        <v>17743</v>
      </c>
      <c r="L583" s="485">
        <v>33105</v>
      </c>
      <c r="M583" s="485">
        <v>12461</v>
      </c>
      <c r="N583" s="485"/>
      <c r="O583" s="486">
        <v>33914</v>
      </c>
      <c r="P583" s="486">
        <v>13097</v>
      </c>
      <c r="Q583" s="486">
        <v>0</v>
      </c>
      <c r="R583" s="485"/>
      <c r="S583" s="486"/>
      <c r="T583" s="483">
        <f t="shared" si="45"/>
        <v>0</v>
      </c>
      <c r="U583" s="484">
        <f t="shared" si="46"/>
        <v>0</v>
      </c>
      <c r="V583" s="485"/>
      <c r="W583" s="486"/>
      <c r="X583" s="485"/>
      <c r="Y583" s="486"/>
      <c r="Z583" s="485"/>
      <c r="AA583" s="485"/>
      <c r="AB583" s="485"/>
      <c r="AC583" s="486"/>
      <c r="AD583" s="486"/>
      <c r="AE583" s="486"/>
      <c r="AF583" s="485"/>
      <c r="AG583" s="486"/>
    </row>
    <row r="584" spans="1:33" s="28" customFormat="1" ht="15" customHeight="1">
      <c r="A584" s="75" t="s">
        <v>635</v>
      </c>
      <c r="B584" s="76" t="s">
        <v>659</v>
      </c>
      <c r="C584" s="154"/>
      <c r="D584" s="78">
        <v>232575</v>
      </c>
      <c r="E584" s="78">
        <v>9</v>
      </c>
      <c r="F584" s="483">
        <f t="shared" si="42"/>
        <v>118021</v>
      </c>
      <c r="G584" s="484">
        <f t="shared" si="43"/>
        <v>119684</v>
      </c>
      <c r="H584" s="485">
        <v>42373</v>
      </c>
      <c r="I584" s="486">
        <v>40481</v>
      </c>
      <c r="J584" s="485">
        <v>31514</v>
      </c>
      <c r="K584" s="486">
        <v>33538</v>
      </c>
      <c r="L584" s="485">
        <v>35064</v>
      </c>
      <c r="M584" s="485">
        <v>9070</v>
      </c>
      <c r="N584" s="485"/>
      <c r="O584" s="486">
        <v>34937</v>
      </c>
      <c r="P584" s="486">
        <v>10728</v>
      </c>
      <c r="Q584" s="486">
        <v>0</v>
      </c>
      <c r="R584" s="485"/>
      <c r="S584" s="486"/>
      <c r="T584" s="483">
        <f t="shared" si="45"/>
        <v>0</v>
      </c>
      <c r="U584" s="484">
        <f t="shared" si="46"/>
        <v>0</v>
      </c>
      <c r="V584" s="485"/>
      <c r="W584" s="486"/>
      <c r="X584" s="485"/>
      <c r="Y584" s="486"/>
      <c r="Z584" s="485"/>
      <c r="AA584" s="485"/>
      <c r="AB584" s="485"/>
      <c r="AC584" s="486"/>
      <c r="AD584" s="486"/>
      <c r="AE584" s="486"/>
      <c r="AF584" s="485"/>
      <c r="AG584" s="486"/>
    </row>
    <row r="585" spans="1:33" s="28" customFormat="1" ht="15" customHeight="1">
      <c r="A585" s="75" t="s">
        <v>635</v>
      </c>
      <c r="B585" s="76" t="s">
        <v>660</v>
      </c>
      <c r="C585" s="154"/>
      <c r="D585" s="78">
        <v>232867</v>
      </c>
      <c r="E585" s="78">
        <v>9</v>
      </c>
      <c r="F585" s="483">
        <f t="shared" si="42"/>
        <v>85066</v>
      </c>
      <c r="G585" s="484">
        <f t="shared" si="43"/>
        <v>82454</v>
      </c>
      <c r="H585" s="485">
        <v>20884</v>
      </c>
      <c r="I585" s="486">
        <v>18747</v>
      </c>
      <c r="J585" s="485">
        <v>33433</v>
      </c>
      <c r="K585" s="486">
        <v>34371</v>
      </c>
      <c r="L585" s="485">
        <v>29769</v>
      </c>
      <c r="M585" s="485">
        <v>980</v>
      </c>
      <c r="N585" s="485"/>
      <c r="O585" s="486">
        <v>28293</v>
      </c>
      <c r="P585" s="486">
        <v>1043</v>
      </c>
      <c r="Q585" s="486">
        <v>0</v>
      </c>
      <c r="R585" s="485"/>
      <c r="S585" s="486"/>
      <c r="T585" s="483">
        <f t="shared" si="45"/>
        <v>0</v>
      </c>
      <c r="U585" s="484">
        <f t="shared" si="46"/>
        <v>0</v>
      </c>
      <c r="V585" s="485"/>
      <c r="W585" s="486"/>
      <c r="X585" s="485"/>
      <c r="Y585" s="486"/>
      <c r="Z585" s="485"/>
      <c r="AA585" s="485"/>
      <c r="AB585" s="485"/>
      <c r="AC585" s="486"/>
      <c r="AD585" s="486"/>
      <c r="AE585" s="486"/>
      <c r="AF585" s="485"/>
      <c r="AG585" s="486"/>
    </row>
    <row r="586" spans="1:33" s="28" customFormat="1" ht="15" customHeight="1">
      <c r="A586" s="75" t="s">
        <v>635</v>
      </c>
      <c r="B586" s="76" t="s">
        <v>662</v>
      </c>
      <c r="C586" s="154"/>
      <c r="D586" s="78">
        <v>233116</v>
      </c>
      <c r="E586" s="83">
        <v>9</v>
      </c>
      <c r="F586" s="483">
        <f t="shared" si="42"/>
        <v>89103</v>
      </c>
      <c r="G586" s="484">
        <f t="shared" si="43"/>
        <v>87230</v>
      </c>
      <c r="H586" s="485">
        <v>51709</v>
      </c>
      <c r="I586" s="486">
        <v>48202</v>
      </c>
      <c r="J586" s="485">
        <v>19627</v>
      </c>
      <c r="K586" s="486">
        <v>19064</v>
      </c>
      <c r="L586" s="485">
        <v>17459</v>
      </c>
      <c r="M586" s="485">
        <v>308</v>
      </c>
      <c r="N586" s="485"/>
      <c r="O586" s="486">
        <v>19008</v>
      </c>
      <c r="P586" s="486">
        <v>956</v>
      </c>
      <c r="Q586" s="486">
        <v>0</v>
      </c>
      <c r="R586" s="485"/>
      <c r="S586" s="486"/>
      <c r="T586" s="483">
        <f t="shared" si="45"/>
        <v>0</v>
      </c>
      <c r="U586" s="484">
        <f t="shared" si="46"/>
        <v>0</v>
      </c>
      <c r="V586" s="485"/>
      <c r="W586" s="486"/>
      <c r="X586" s="485"/>
      <c r="Y586" s="486"/>
      <c r="Z586" s="485"/>
      <c r="AA586" s="485"/>
      <c r="AB586" s="485"/>
      <c r="AC586" s="486"/>
      <c r="AD586" s="486"/>
      <c r="AE586" s="486"/>
      <c r="AF586" s="485"/>
      <c r="AG586" s="486"/>
    </row>
    <row r="587" spans="1:33" s="28" customFormat="1" ht="15" customHeight="1">
      <c r="A587" s="75" t="s">
        <v>635</v>
      </c>
      <c r="B587" s="76" t="s">
        <v>663</v>
      </c>
      <c r="C587" s="154"/>
      <c r="D587" s="78">
        <v>233639</v>
      </c>
      <c r="E587" s="83">
        <v>9</v>
      </c>
      <c r="F587" s="483">
        <f t="shared" si="42"/>
        <v>68359</v>
      </c>
      <c r="G587" s="484">
        <f t="shared" si="43"/>
        <v>62774</v>
      </c>
      <c r="H587" s="485">
        <v>15905</v>
      </c>
      <c r="I587" s="486">
        <v>14222</v>
      </c>
      <c r="J587" s="485">
        <v>30046</v>
      </c>
      <c r="K587" s="486">
        <v>27583</v>
      </c>
      <c r="L587" s="485">
        <v>21240</v>
      </c>
      <c r="M587" s="485">
        <v>1168</v>
      </c>
      <c r="N587" s="485"/>
      <c r="O587" s="486">
        <v>19519</v>
      </c>
      <c r="P587" s="486">
        <v>1450</v>
      </c>
      <c r="Q587" s="486">
        <v>0</v>
      </c>
      <c r="R587" s="485"/>
      <c r="S587" s="486"/>
      <c r="T587" s="483">
        <f t="shared" si="45"/>
        <v>0</v>
      </c>
      <c r="U587" s="484">
        <f t="shared" si="46"/>
        <v>0</v>
      </c>
      <c r="V587" s="485"/>
      <c r="W587" s="486"/>
      <c r="X587" s="485"/>
      <c r="Y587" s="486"/>
      <c r="Z587" s="485"/>
      <c r="AA587" s="485"/>
      <c r="AB587" s="485"/>
      <c r="AC587" s="486"/>
      <c r="AD587" s="486"/>
      <c r="AE587" s="486"/>
      <c r="AF587" s="485"/>
      <c r="AG587" s="486"/>
    </row>
    <row r="588" spans="1:33" s="28" customFormat="1" ht="15" customHeight="1">
      <c r="A588" s="75" t="s">
        <v>635</v>
      </c>
      <c r="B588" s="76" t="s">
        <v>664</v>
      </c>
      <c r="C588" s="154"/>
      <c r="D588" s="78">
        <v>233949</v>
      </c>
      <c r="E588" s="83">
        <v>9</v>
      </c>
      <c r="F588" s="483">
        <f t="shared" si="42"/>
        <v>123469</v>
      </c>
      <c r="G588" s="484">
        <f t="shared" si="43"/>
        <v>114617</v>
      </c>
      <c r="H588" s="485">
        <v>66254</v>
      </c>
      <c r="I588" s="486">
        <v>59489</v>
      </c>
      <c r="J588" s="485">
        <v>27748</v>
      </c>
      <c r="K588" s="486">
        <v>24210</v>
      </c>
      <c r="L588" s="485">
        <v>21656</v>
      </c>
      <c r="M588" s="485">
        <v>7811</v>
      </c>
      <c r="N588" s="485"/>
      <c r="O588" s="486">
        <v>23317</v>
      </c>
      <c r="P588" s="486">
        <v>7601</v>
      </c>
      <c r="Q588" s="486">
        <v>0</v>
      </c>
      <c r="R588" s="485"/>
      <c r="S588" s="486"/>
      <c r="T588" s="483">
        <f t="shared" si="45"/>
        <v>0</v>
      </c>
      <c r="U588" s="484">
        <f t="shared" si="46"/>
        <v>0</v>
      </c>
      <c r="V588" s="485"/>
      <c r="W588" s="486"/>
      <c r="X588" s="485"/>
      <c r="Y588" s="486"/>
      <c r="Z588" s="485"/>
      <c r="AA588" s="485"/>
      <c r="AB588" s="485"/>
      <c r="AC588" s="486"/>
      <c r="AD588" s="486"/>
      <c r="AE588" s="486"/>
      <c r="AF588" s="485"/>
      <c r="AG588" s="486"/>
    </row>
    <row r="589" spans="1:33" s="28" customFormat="1" ht="15" customHeight="1">
      <c r="A589" s="75" t="s">
        <v>635</v>
      </c>
      <c r="B589" s="76" t="s">
        <v>666</v>
      </c>
      <c r="C589" s="77"/>
      <c r="D589" s="78">
        <v>231873</v>
      </c>
      <c r="E589" s="78">
        <v>10</v>
      </c>
      <c r="F589" s="483">
        <f t="shared" si="42"/>
        <v>21316</v>
      </c>
      <c r="G589" s="484">
        <f t="shared" si="43"/>
        <v>19299</v>
      </c>
      <c r="H589" s="485">
        <v>8644</v>
      </c>
      <c r="I589" s="486">
        <v>8127</v>
      </c>
      <c r="J589" s="485">
        <v>6221</v>
      </c>
      <c r="K589" s="486">
        <v>4517</v>
      </c>
      <c r="L589" s="485">
        <v>4246</v>
      </c>
      <c r="M589" s="485">
        <v>2205</v>
      </c>
      <c r="N589" s="485"/>
      <c r="O589" s="486">
        <v>4620</v>
      </c>
      <c r="P589" s="486">
        <v>2035</v>
      </c>
      <c r="Q589" s="486">
        <v>0</v>
      </c>
      <c r="R589" s="485"/>
      <c r="S589" s="486"/>
      <c r="T589" s="483">
        <f t="shared" si="45"/>
        <v>0</v>
      </c>
      <c r="U589" s="484">
        <f t="shared" si="46"/>
        <v>0</v>
      </c>
      <c r="V589" s="485"/>
      <c r="W589" s="486"/>
      <c r="X589" s="485"/>
      <c r="Y589" s="486"/>
      <c r="Z589" s="485"/>
      <c r="AA589" s="485"/>
      <c r="AB589" s="485"/>
      <c r="AC589" s="486"/>
      <c r="AD589" s="486"/>
      <c r="AE589" s="486"/>
      <c r="AF589" s="485"/>
      <c r="AG589" s="486"/>
    </row>
    <row r="590" spans="1:33" s="28" customFormat="1" ht="15" customHeight="1">
      <c r="A590" s="75" t="s">
        <v>635</v>
      </c>
      <c r="B590" s="76" t="s">
        <v>667</v>
      </c>
      <c r="C590" s="77"/>
      <c r="D590" s="78">
        <v>232052</v>
      </c>
      <c r="E590" s="78">
        <v>10</v>
      </c>
      <c r="F590" s="483">
        <f t="shared" si="42"/>
        <v>11109</v>
      </c>
      <c r="G590" s="484">
        <f t="shared" si="43"/>
        <v>10868</v>
      </c>
      <c r="H590" s="485">
        <v>7074</v>
      </c>
      <c r="I590" s="486">
        <v>6750</v>
      </c>
      <c r="J590" s="485">
        <v>2351</v>
      </c>
      <c r="K590" s="486">
        <v>2555</v>
      </c>
      <c r="L590" s="485">
        <v>1684</v>
      </c>
      <c r="M590" s="485">
        <v>0</v>
      </c>
      <c r="N590" s="485"/>
      <c r="O590" s="486">
        <v>1563</v>
      </c>
      <c r="P590" s="486">
        <v>0</v>
      </c>
      <c r="Q590" s="486">
        <v>0</v>
      </c>
      <c r="R590" s="485"/>
      <c r="S590" s="486"/>
      <c r="T590" s="483">
        <f t="shared" si="45"/>
        <v>0</v>
      </c>
      <c r="U590" s="484">
        <f t="shared" si="46"/>
        <v>0</v>
      </c>
      <c r="V590" s="485"/>
      <c r="W590" s="486"/>
      <c r="X590" s="485"/>
      <c r="Y590" s="486"/>
      <c r="Z590" s="485"/>
      <c r="AA590" s="485"/>
      <c r="AB590" s="485"/>
      <c r="AC590" s="486"/>
      <c r="AD590" s="486"/>
      <c r="AE590" s="486"/>
      <c r="AF590" s="485"/>
      <c r="AG590" s="486"/>
    </row>
    <row r="591" spans="1:33" s="28" customFormat="1" ht="12.75" customHeight="1">
      <c r="A591" s="75" t="s">
        <v>635</v>
      </c>
      <c r="B591" s="76" t="s">
        <v>668</v>
      </c>
      <c r="C591" s="80"/>
      <c r="D591" s="78">
        <v>232788</v>
      </c>
      <c r="E591" s="78">
        <v>10</v>
      </c>
      <c r="F591" s="483">
        <f t="shared" si="42"/>
        <v>50141</v>
      </c>
      <c r="G591" s="484">
        <f t="shared" si="43"/>
        <v>46652</v>
      </c>
      <c r="H591" s="485">
        <v>22122</v>
      </c>
      <c r="I591" s="486">
        <v>19234</v>
      </c>
      <c r="J591" s="485">
        <v>9522</v>
      </c>
      <c r="K591" s="486">
        <v>8103</v>
      </c>
      <c r="L591" s="485">
        <v>16386</v>
      </c>
      <c r="M591" s="485">
        <v>2111</v>
      </c>
      <c r="N591" s="485"/>
      <c r="O591" s="486">
        <v>16965</v>
      </c>
      <c r="P591" s="486">
        <v>2350</v>
      </c>
      <c r="Q591" s="486">
        <v>0</v>
      </c>
      <c r="R591" s="485"/>
      <c r="S591" s="486"/>
      <c r="T591" s="483">
        <f t="shared" si="45"/>
        <v>0</v>
      </c>
      <c r="U591" s="484">
        <f t="shared" si="46"/>
        <v>0</v>
      </c>
      <c r="V591" s="485"/>
      <c r="W591" s="486"/>
      <c r="X591" s="485"/>
      <c r="Y591" s="486"/>
      <c r="Z591" s="485"/>
      <c r="AA591" s="485"/>
      <c r="AB591" s="485"/>
      <c r="AC591" s="486"/>
      <c r="AD591" s="486"/>
      <c r="AE591" s="486"/>
      <c r="AF591" s="485"/>
      <c r="AG591" s="486"/>
    </row>
    <row r="592" spans="1:33" s="28" customFormat="1" ht="12.75" customHeight="1">
      <c r="A592" s="75" t="s">
        <v>635</v>
      </c>
      <c r="B592" s="155" t="s">
        <v>661</v>
      </c>
      <c r="C592" s="156"/>
      <c r="D592" s="78">
        <v>233019</v>
      </c>
      <c r="E592" s="78">
        <v>10</v>
      </c>
      <c r="F592" s="483">
        <f t="shared" si="42"/>
        <v>48583</v>
      </c>
      <c r="G592" s="484">
        <f t="shared" si="43"/>
        <v>49783</v>
      </c>
      <c r="H592" s="485">
        <v>20243</v>
      </c>
      <c r="I592" s="486">
        <v>20291</v>
      </c>
      <c r="J592" s="485">
        <v>7603</v>
      </c>
      <c r="K592" s="486">
        <v>7399</v>
      </c>
      <c r="L592" s="485">
        <v>17629</v>
      </c>
      <c r="M592" s="485">
        <v>3108</v>
      </c>
      <c r="N592" s="485"/>
      <c r="O592" s="486">
        <v>19105</v>
      </c>
      <c r="P592" s="486">
        <v>2988</v>
      </c>
      <c r="Q592" s="486">
        <v>0</v>
      </c>
      <c r="R592" s="485"/>
      <c r="S592" s="486"/>
      <c r="T592" s="483">
        <f t="shared" si="45"/>
        <v>0</v>
      </c>
      <c r="U592" s="484">
        <f t="shared" si="46"/>
        <v>0</v>
      </c>
      <c r="V592" s="485"/>
      <c r="W592" s="486"/>
      <c r="X592" s="485"/>
      <c r="Y592" s="486"/>
      <c r="Z592" s="485"/>
      <c r="AA592" s="485"/>
      <c r="AB592" s="485"/>
      <c r="AC592" s="486"/>
      <c r="AD592" s="486"/>
      <c r="AE592" s="486"/>
      <c r="AF592" s="485"/>
      <c r="AG592" s="486"/>
    </row>
    <row r="593" spans="1:33">
      <c r="A593" s="75" t="s">
        <v>635</v>
      </c>
      <c r="B593" s="76" t="s">
        <v>669</v>
      </c>
      <c r="C593" s="77"/>
      <c r="D593" s="78">
        <v>233037</v>
      </c>
      <c r="E593" s="78">
        <v>10</v>
      </c>
      <c r="F593" s="483">
        <f t="shared" si="42"/>
        <v>24056</v>
      </c>
      <c r="G593" s="484">
        <f t="shared" si="43"/>
        <v>23420</v>
      </c>
      <c r="H593" s="485">
        <v>7875</v>
      </c>
      <c r="I593" s="486">
        <v>6843</v>
      </c>
      <c r="J593" s="485">
        <v>6388</v>
      </c>
      <c r="K593" s="486">
        <v>5509</v>
      </c>
      <c r="L593" s="485">
        <v>9373</v>
      </c>
      <c r="M593" s="485">
        <v>420</v>
      </c>
      <c r="N593" s="485"/>
      <c r="O593" s="486">
        <v>10021</v>
      </c>
      <c r="P593" s="486">
        <v>1047</v>
      </c>
      <c r="Q593" s="486">
        <v>0</v>
      </c>
      <c r="R593" s="485"/>
      <c r="S593" s="486"/>
      <c r="T593" s="483">
        <f t="shared" si="45"/>
        <v>0</v>
      </c>
      <c r="U593" s="484">
        <f t="shared" si="46"/>
        <v>0</v>
      </c>
      <c r="V593" s="485"/>
      <c r="W593" s="486"/>
      <c r="X593" s="485"/>
      <c r="Y593" s="486"/>
      <c r="Z593" s="485"/>
      <c r="AA593" s="485"/>
      <c r="AB593" s="485"/>
      <c r="AC593" s="486"/>
      <c r="AD593" s="486"/>
      <c r="AE593" s="486"/>
      <c r="AF593" s="485"/>
      <c r="AG593" s="486"/>
    </row>
    <row r="594" spans="1:33" s="28" customFormat="1" ht="12.75" customHeight="1">
      <c r="A594" s="75" t="s">
        <v>635</v>
      </c>
      <c r="B594" s="76" t="s">
        <v>670</v>
      </c>
      <c r="C594" s="77"/>
      <c r="D594" s="78">
        <v>233310</v>
      </c>
      <c r="E594" s="78">
        <v>10</v>
      </c>
      <c r="F594" s="483">
        <f t="shared" si="42"/>
        <v>56607</v>
      </c>
      <c r="G594" s="484">
        <f t="shared" si="43"/>
        <v>53839</v>
      </c>
      <c r="H594" s="485">
        <v>12536</v>
      </c>
      <c r="I594" s="486">
        <v>11078</v>
      </c>
      <c r="J594" s="485">
        <v>19258</v>
      </c>
      <c r="K594" s="486">
        <v>17960</v>
      </c>
      <c r="L594" s="485">
        <v>15096</v>
      </c>
      <c r="M594" s="485">
        <v>9717</v>
      </c>
      <c r="N594" s="485"/>
      <c r="O594" s="486">
        <v>15159</v>
      </c>
      <c r="P594" s="486">
        <v>9642</v>
      </c>
      <c r="Q594" s="486">
        <v>0</v>
      </c>
      <c r="R594" s="485"/>
      <c r="S594" s="486"/>
      <c r="T594" s="483">
        <f t="shared" si="45"/>
        <v>0</v>
      </c>
      <c r="U594" s="484">
        <f t="shared" si="46"/>
        <v>0</v>
      </c>
      <c r="V594" s="485"/>
      <c r="W594" s="486"/>
      <c r="X594" s="485"/>
      <c r="Y594" s="486"/>
      <c r="Z594" s="485"/>
      <c r="AA594" s="485"/>
      <c r="AB594" s="485"/>
      <c r="AC594" s="486"/>
      <c r="AD594" s="486"/>
      <c r="AE594" s="486"/>
      <c r="AF594" s="485"/>
      <c r="AG594" s="486"/>
    </row>
    <row r="595" spans="1:33" s="28" customFormat="1" ht="12.75" customHeight="1">
      <c r="A595" s="75" t="s">
        <v>635</v>
      </c>
      <c r="B595" s="76" t="s">
        <v>671</v>
      </c>
      <c r="C595" s="77"/>
      <c r="D595" s="78">
        <v>233338</v>
      </c>
      <c r="E595" s="78">
        <v>10</v>
      </c>
      <c r="F595" s="483">
        <f t="shared" si="42"/>
        <v>36873</v>
      </c>
      <c r="G595" s="484">
        <f t="shared" si="43"/>
        <v>37951</v>
      </c>
      <c r="H595" s="485">
        <v>22342</v>
      </c>
      <c r="I595" s="486">
        <v>20650</v>
      </c>
      <c r="J595" s="485">
        <v>10291</v>
      </c>
      <c r="K595" s="486">
        <v>12642</v>
      </c>
      <c r="L595" s="485">
        <v>4240</v>
      </c>
      <c r="M595" s="485">
        <v>0</v>
      </c>
      <c r="N595" s="485"/>
      <c r="O595" s="486">
        <v>4659</v>
      </c>
      <c r="P595" s="486">
        <v>0</v>
      </c>
      <c r="Q595" s="486">
        <v>0</v>
      </c>
      <c r="R595" s="485"/>
      <c r="S595" s="486"/>
      <c r="T595" s="483">
        <f t="shared" si="45"/>
        <v>0</v>
      </c>
      <c r="U595" s="484">
        <f t="shared" si="46"/>
        <v>0</v>
      </c>
      <c r="V595" s="485"/>
      <c r="W595" s="486"/>
      <c r="X595" s="485"/>
      <c r="Y595" s="486"/>
      <c r="Z595" s="485"/>
      <c r="AA595" s="485"/>
      <c r="AB595" s="485"/>
      <c r="AC595" s="486"/>
      <c r="AD595" s="486"/>
      <c r="AE595" s="486"/>
      <c r="AF595" s="485"/>
      <c r="AG595" s="486"/>
    </row>
    <row r="596" spans="1:33">
      <c r="A596" s="75" t="s">
        <v>635</v>
      </c>
      <c r="B596" s="76" t="s">
        <v>672</v>
      </c>
      <c r="C596" s="80"/>
      <c r="D596" s="78">
        <v>233648</v>
      </c>
      <c r="E596" s="78">
        <v>10</v>
      </c>
      <c r="F596" s="483">
        <f t="shared" si="42"/>
        <v>49072</v>
      </c>
      <c r="G596" s="484">
        <f t="shared" si="43"/>
        <v>48367</v>
      </c>
      <c r="H596" s="485">
        <v>16183</v>
      </c>
      <c r="I596" s="486">
        <v>15397</v>
      </c>
      <c r="J596" s="485">
        <v>8871</v>
      </c>
      <c r="K596" s="486">
        <v>9153</v>
      </c>
      <c r="L596" s="485">
        <v>19616</v>
      </c>
      <c r="M596" s="485">
        <v>4402</v>
      </c>
      <c r="N596" s="485"/>
      <c r="O596" s="486">
        <v>20499</v>
      </c>
      <c r="P596" s="486">
        <v>3318</v>
      </c>
      <c r="Q596" s="486">
        <v>0</v>
      </c>
      <c r="R596" s="485"/>
      <c r="S596" s="486"/>
      <c r="T596" s="483">
        <f t="shared" si="45"/>
        <v>0</v>
      </c>
      <c r="U596" s="484">
        <f t="shared" si="46"/>
        <v>0</v>
      </c>
      <c r="V596" s="485"/>
      <c r="W596" s="486"/>
      <c r="X596" s="485"/>
      <c r="Y596" s="486"/>
      <c r="Z596" s="485"/>
      <c r="AA596" s="485"/>
      <c r="AB596" s="485"/>
      <c r="AC596" s="486"/>
      <c r="AD596" s="486"/>
      <c r="AE596" s="486"/>
      <c r="AF596" s="485"/>
      <c r="AG596" s="486"/>
    </row>
    <row r="597" spans="1:33" s="28" customFormat="1" ht="12.75" customHeight="1">
      <c r="A597" s="75" t="s">
        <v>635</v>
      </c>
      <c r="B597" s="76" t="s">
        <v>673</v>
      </c>
      <c r="C597" s="77"/>
      <c r="D597" s="78">
        <v>233903</v>
      </c>
      <c r="E597" s="78">
        <v>10</v>
      </c>
      <c r="F597" s="483">
        <f t="shared" si="42"/>
        <v>44181</v>
      </c>
      <c r="G597" s="484">
        <f t="shared" si="43"/>
        <v>43785</v>
      </c>
      <c r="H597" s="485">
        <v>18100</v>
      </c>
      <c r="I597" s="486">
        <v>16768</v>
      </c>
      <c r="J597" s="485">
        <v>8540</v>
      </c>
      <c r="K597" s="486">
        <v>8530</v>
      </c>
      <c r="L597" s="485">
        <v>15721</v>
      </c>
      <c r="M597" s="485">
        <v>1820</v>
      </c>
      <c r="N597" s="485"/>
      <c r="O597" s="486">
        <v>16584</v>
      </c>
      <c r="P597" s="486">
        <v>1903</v>
      </c>
      <c r="Q597" s="486">
        <v>0</v>
      </c>
      <c r="R597" s="485"/>
      <c r="S597" s="486"/>
      <c r="T597" s="483">
        <f t="shared" si="45"/>
        <v>0</v>
      </c>
      <c r="U597" s="484">
        <f t="shared" si="46"/>
        <v>0</v>
      </c>
      <c r="V597" s="485"/>
      <c r="W597" s="486"/>
      <c r="X597" s="485"/>
      <c r="Y597" s="486"/>
      <c r="Z597" s="485"/>
      <c r="AA597" s="485"/>
      <c r="AB597" s="485"/>
      <c r="AC597" s="486"/>
      <c r="AD597" s="486"/>
      <c r="AE597" s="486"/>
      <c r="AF597" s="485"/>
      <c r="AG597" s="486"/>
    </row>
    <row r="598" spans="1:33" s="28" customFormat="1" ht="12.75" customHeight="1">
      <c r="A598" s="75" t="s">
        <v>635</v>
      </c>
      <c r="B598" s="76" t="s">
        <v>665</v>
      </c>
      <c r="C598" s="156"/>
      <c r="D598" s="78">
        <v>234377</v>
      </c>
      <c r="E598" s="78">
        <v>10</v>
      </c>
      <c r="F598" s="483">
        <f t="shared" si="42"/>
        <v>49842</v>
      </c>
      <c r="G598" s="484">
        <f t="shared" si="43"/>
        <v>48184</v>
      </c>
      <c r="H598" s="485">
        <v>8385</v>
      </c>
      <c r="I598" s="486">
        <v>7071</v>
      </c>
      <c r="J598" s="485">
        <v>15031</v>
      </c>
      <c r="K598" s="486">
        <v>14536</v>
      </c>
      <c r="L598" s="485">
        <v>21532</v>
      </c>
      <c r="M598" s="485">
        <v>4894</v>
      </c>
      <c r="N598" s="485"/>
      <c r="O598" s="486">
        <v>20891</v>
      </c>
      <c r="P598" s="486">
        <v>5686</v>
      </c>
      <c r="Q598" s="486">
        <v>0</v>
      </c>
      <c r="R598" s="485"/>
      <c r="S598" s="486"/>
      <c r="T598" s="483">
        <f t="shared" si="45"/>
        <v>0</v>
      </c>
      <c r="U598" s="484">
        <f t="shared" si="46"/>
        <v>0</v>
      </c>
      <c r="V598" s="485"/>
      <c r="W598" s="486"/>
      <c r="X598" s="485"/>
      <c r="Y598" s="486"/>
      <c r="Z598" s="485"/>
      <c r="AA598" s="485"/>
      <c r="AB598" s="485"/>
      <c r="AC598" s="486"/>
      <c r="AD598" s="486"/>
      <c r="AE598" s="486"/>
      <c r="AF598" s="485"/>
      <c r="AG598" s="486"/>
    </row>
    <row r="599" spans="1:33" s="28" customFormat="1" ht="13.5" customHeight="1">
      <c r="A599" s="122" t="s">
        <v>674</v>
      </c>
      <c r="B599" s="123" t="s">
        <v>675</v>
      </c>
      <c r="C599" s="124"/>
      <c r="D599" s="125">
        <v>238032</v>
      </c>
      <c r="E599" s="125">
        <v>1</v>
      </c>
      <c r="F599" s="483">
        <f t="shared" si="42"/>
        <v>652521</v>
      </c>
      <c r="G599" s="484">
        <f t="shared" si="43"/>
        <v>625795</v>
      </c>
      <c r="H599" s="485">
        <v>575572</v>
      </c>
      <c r="I599" s="486">
        <v>549400</v>
      </c>
      <c r="J599" s="485">
        <v>1657</v>
      </c>
      <c r="K599" s="486">
        <v>3326</v>
      </c>
      <c r="L599" s="485">
        <v>71146</v>
      </c>
      <c r="M599" s="485">
        <v>0</v>
      </c>
      <c r="N599" s="485">
        <v>4146</v>
      </c>
      <c r="O599" s="486">
        <v>70687</v>
      </c>
      <c r="P599" s="486"/>
      <c r="Q599" s="486">
        <v>2382</v>
      </c>
      <c r="R599" s="485">
        <v>0</v>
      </c>
      <c r="S599" s="486"/>
      <c r="T599" s="483">
        <f t="shared" si="45"/>
        <v>91119</v>
      </c>
      <c r="U599" s="484">
        <f t="shared" si="46"/>
        <v>86140</v>
      </c>
      <c r="V599" s="485">
        <v>59921</v>
      </c>
      <c r="W599" s="486">
        <v>58056</v>
      </c>
      <c r="X599" s="485">
        <v>4443</v>
      </c>
      <c r="Y599" s="486">
        <v>3436</v>
      </c>
      <c r="Z599" s="485">
        <v>26307</v>
      </c>
      <c r="AA599" s="485"/>
      <c r="AB599" s="485">
        <v>448</v>
      </c>
      <c r="AC599" s="486">
        <v>24048</v>
      </c>
      <c r="AD599" s="486"/>
      <c r="AE599" s="486">
        <v>600</v>
      </c>
      <c r="AF599" s="485"/>
      <c r="AG599" s="486"/>
    </row>
    <row r="600" spans="1:33" s="28" customFormat="1" ht="12.75" customHeight="1">
      <c r="A600" s="122" t="s">
        <v>674</v>
      </c>
      <c r="B600" s="123" t="s">
        <v>676</v>
      </c>
      <c r="C600" s="124"/>
      <c r="D600" s="125">
        <v>237525</v>
      </c>
      <c r="E600" s="125">
        <v>3</v>
      </c>
      <c r="F600" s="483">
        <f t="shared" si="42"/>
        <v>261348</v>
      </c>
      <c r="G600" s="484">
        <f t="shared" si="43"/>
        <v>256593</v>
      </c>
      <c r="H600" s="485">
        <v>194603</v>
      </c>
      <c r="I600" s="486">
        <v>186088</v>
      </c>
      <c r="J600" s="485">
        <v>22994</v>
      </c>
      <c r="K600" s="486">
        <v>25065</v>
      </c>
      <c r="L600" s="485">
        <v>39900</v>
      </c>
      <c r="M600" s="485">
        <v>3851</v>
      </c>
      <c r="N600" s="485">
        <v>0</v>
      </c>
      <c r="O600" s="486">
        <v>41763</v>
      </c>
      <c r="P600" s="486">
        <v>3677</v>
      </c>
      <c r="Q600" s="486"/>
      <c r="R600" s="485">
        <v>0</v>
      </c>
      <c r="S600" s="486"/>
      <c r="T600" s="483">
        <f t="shared" si="45"/>
        <v>69223</v>
      </c>
      <c r="U600" s="484">
        <f t="shared" si="46"/>
        <v>67756</v>
      </c>
      <c r="V600" s="485">
        <v>36625</v>
      </c>
      <c r="W600" s="486">
        <v>35104</v>
      </c>
      <c r="X600" s="485">
        <v>16226</v>
      </c>
      <c r="Y600" s="486">
        <v>10880</v>
      </c>
      <c r="Z600" s="485">
        <v>15668</v>
      </c>
      <c r="AA600" s="485">
        <v>704</v>
      </c>
      <c r="AB600" s="485"/>
      <c r="AC600" s="486">
        <v>21047</v>
      </c>
      <c r="AD600" s="486">
        <v>725</v>
      </c>
      <c r="AE600" s="486"/>
      <c r="AF600" s="485"/>
      <c r="AG600" s="486"/>
    </row>
    <row r="601" spans="1:33" s="28" customFormat="1" ht="12.75" customHeight="1">
      <c r="A601" s="122" t="s">
        <v>674</v>
      </c>
      <c r="B601" s="123" t="s">
        <v>680</v>
      </c>
      <c r="C601" s="158"/>
      <c r="D601" s="125">
        <v>237330</v>
      </c>
      <c r="E601" s="157">
        <v>5</v>
      </c>
      <c r="F601" s="483">
        <f t="shared" si="42"/>
        <v>56093</v>
      </c>
      <c r="G601" s="484">
        <f t="shared" si="43"/>
        <v>51204</v>
      </c>
      <c r="H601" s="485">
        <v>37992</v>
      </c>
      <c r="I601" s="486">
        <v>33786</v>
      </c>
      <c r="J601" s="485">
        <v>6343</v>
      </c>
      <c r="K601" s="486">
        <v>4350</v>
      </c>
      <c r="L601" s="485">
        <v>11644</v>
      </c>
      <c r="M601" s="485">
        <v>114</v>
      </c>
      <c r="N601" s="485">
        <v>0</v>
      </c>
      <c r="O601" s="486">
        <v>12063</v>
      </c>
      <c r="P601" s="486">
        <v>1005</v>
      </c>
      <c r="Q601" s="486"/>
      <c r="R601" s="485">
        <v>0</v>
      </c>
      <c r="S601" s="486"/>
      <c r="T601" s="483">
        <f t="shared" si="45"/>
        <v>6465</v>
      </c>
      <c r="U601" s="484">
        <f t="shared" si="46"/>
        <v>6120</v>
      </c>
      <c r="V601" s="485">
        <v>315</v>
      </c>
      <c r="W601" s="486">
        <v>387</v>
      </c>
      <c r="X601" s="485"/>
      <c r="Y601" s="486"/>
      <c r="Z601" s="485">
        <v>6150</v>
      </c>
      <c r="AA601" s="485"/>
      <c r="AB601" s="485"/>
      <c r="AC601" s="486">
        <v>5733</v>
      </c>
      <c r="AD601" s="486"/>
      <c r="AE601" s="486"/>
      <c r="AF601" s="485"/>
      <c r="AG601" s="486"/>
    </row>
    <row r="602" spans="1:33" s="28" customFormat="1" ht="12.75" customHeight="1">
      <c r="A602" s="122" t="s">
        <v>674</v>
      </c>
      <c r="B602" s="123" t="s">
        <v>677</v>
      </c>
      <c r="C602" s="124"/>
      <c r="D602" s="125">
        <v>237367</v>
      </c>
      <c r="E602" s="125">
        <v>5</v>
      </c>
      <c r="F602" s="483">
        <f t="shared" si="42"/>
        <v>100586</v>
      </c>
      <c r="G602" s="484">
        <f t="shared" si="43"/>
        <v>99986</v>
      </c>
      <c r="H602" s="485">
        <v>81761</v>
      </c>
      <c r="I602" s="486">
        <v>75601</v>
      </c>
      <c r="J602" s="485">
        <v>4218</v>
      </c>
      <c r="K602" s="486">
        <v>1945</v>
      </c>
      <c r="L602" s="485">
        <v>14607</v>
      </c>
      <c r="M602" s="485">
        <v>0</v>
      </c>
      <c r="N602" s="485">
        <v>0</v>
      </c>
      <c r="O602" s="486">
        <v>22440</v>
      </c>
      <c r="P602" s="486"/>
      <c r="Q602" s="486"/>
      <c r="R602" s="485">
        <v>0</v>
      </c>
      <c r="S602" s="486"/>
      <c r="T602" s="483">
        <f t="shared" si="45"/>
        <v>4241</v>
      </c>
      <c r="U602" s="484">
        <f t="shared" si="46"/>
        <v>4142</v>
      </c>
      <c r="V602" s="485">
        <v>2247</v>
      </c>
      <c r="W602" s="486">
        <v>1170</v>
      </c>
      <c r="X602" s="485">
        <v>230</v>
      </c>
      <c r="Y602" s="486"/>
      <c r="Z602" s="485">
        <v>1764</v>
      </c>
      <c r="AA602" s="485"/>
      <c r="AB602" s="485"/>
      <c r="AC602" s="486">
        <v>2972</v>
      </c>
      <c r="AD602" s="486"/>
      <c r="AE602" s="486"/>
      <c r="AF602" s="485"/>
      <c r="AG602" s="486"/>
    </row>
    <row r="603" spans="1:33">
      <c r="A603" s="122" t="s">
        <v>674</v>
      </c>
      <c r="B603" s="123" t="s">
        <v>678</v>
      </c>
      <c r="C603" s="124"/>
      <c r="D603" s="125">
        <v>237792</v>
      </c>
      <c r="E603" s="157">
        <v>5</v>
      </c>
      <c r="F603" s="483">
        <f t="shared" si="42"/>
        <v>86320</v>
      </c>
      <c r="G603" s="484">
        <f t="shared" si="43"/>
        <v>84143</v>
      </c>
      <c r="H603" s="485">
        <v>78479</v>
      </c>
      <c r="I603" s="486">
        <v>74856</v>
      </c>
      <c r="J603" s="485">
        <v>0</v>
      </c>
      <c r="K603" s="486">
        <v>0</v>
      </c>
      <c r="L603" s="485">
        <v>7841</v>
      </c>
      <c r="M603" s="485">
        <v>0</v>
      </c>
      <c r="N603" s="485">
        <v>0</v>
      </c>
      <c r="O603" s="486">
        <v>9287</v>
      </c>
      <c r="P603" s="486"/>
      <c r="Q603" s="486"/>
      <c r="R603" s="485">
        <v>0</v>
      </c>
      <c r="S603" s="486"/>
      <c r="T603" s="483">
        <f t="shared" si="45"/>
        <v>5699</v>
      </c>
      <c r="U603" s="484">
        <f t="shared" si="46"/>
        <v>6246</v>
      </c>
      <c r="V603" s="485">
        <v>4810</v>
      </c>
      <c r="W603" s="486">
        <v>4960</v>
      </c>
      <c r="X603" s="485">
        <v>0</v>
      </c>
      <c r="Y603" s="486"/>
      <c r="Z603" s="485">
        <v>889</v>
      </c>
      <c r="AA603" s="485"/>
      <c r="AB603" s="485"/>
      <c r="AC603" s="486">
        <v>1274</v>
      </c>
      <c r="AD603" s="486">
        <v>12</v>
      </c>
      <c r="AE603" s="486"/>
      <c r="AF603" s="485"/>
      <c r="AG603" s="486"/>
    </row>
    <row r="604" spans="1:33" s="28" customFormat="1" ht="15" customHeight="1">
      <c r="A604" s="122" t="s">
        <v>674</v>
      </c>
      <c r="B604" s="123" t="s">
        <v>682</v>
      </c>
      <c r="C604" s="158"/>
      <c r="D604" s="125">
        <v>237932</v>
      </c>
      <c r="E604" s="157">
        <v>5</v>
      </c>
      <c r="F604" s="483">
        <f t="shared" si="42"/>
        <v>61439</v>
      </c>
      <c r="G604" s="484">
        <f t="shared" si="43"/>
        <v>61815</v>
      </c>
      <c r="H604" s="485">
        <v>52926</v>
      </c>
      <c r="I604" s="486">
        <v>54298</v>
      </c>
      <c r="J604" s="485">
        <v>2473</v>
      </c>
      <c r="K604" s="486">
        <v>2373</v>
      </c>
      <c r="L604" s="485">
        <v>6040</v>
      </c>
      <c r="M604" s="485">
        <v>0</v>
      </c>
      <c r="N604" s="485">
        <v>0</v>
      </c>
      <c r="O604" s="486">
        <v>5144</v>
      </c>
      <c r="P604" s="486"/>
      <c r="Q604" s="486"/>
      <c r="R604" s="485">
        <v>0</v>
      </c>
      <c r="S604" s="486"/>
      <c r="T604" s="483">
        <f t="shared" si="45"/>
        <v>5537</v>
      </c>
      <c r="U604" s="484">
        <f t="shared" si="46"/>
        <v>5790</v>
      </c>
      <c r="V604" s="485">
        <v>2141</v>
      </c>
      <c r="W604" s="486">
        <v>2568</v>
      </c>
      <c r="X604" s="485">
        <v>1521</v>
      </c>
      <c r="Y604" s="486">
        <v>1224</v>
      </c>
      <c r="Z604" s="485">
        <v>1875</v>
      </c>
      <c r="AA604" s="485"/>
      <c r="AB604" s="485"/>
      <c r="AC604" s="486">
        <v>1998</v>
      </c>
      <c r="AD604" s="486"/>
      <c r="AE604" s="486"/>
      <c r="AF604" s="485"/>
      <c r="AG604" s="486"/>
    </row>
    <row r="605" spans="1:33" s="28" customFormat="1" ht="15" customHeight="1">
      <c r="A605" s="122" t="s">
        <v>674</v>
      </c>
      <c r="B605" s="123" t="s">
        <v>679</v>
      </c>
      <c r="C605" s="124"/>
      <c r="D605" s="125">
        <v>237215</v>
      </c>
      <c r="E605" s="125">
        <v>6</v>
      </c>
      <c r="F605" s="483">
        <f t="shared" si="42"/>
        <v>36110</v>
      </c>
      <c r="G605" s="484">
        <f t="shared" si="43"/>
        <v>34315</v>
      </c>
      <c r="H605" s="485">
        <v>16347</v>
      </c>
      <c r="I605" s="486">
        <v>14628</v>
      </c>
      <c r="J605" s="485">
        <v>2585</v>
      </c>
      <c r="K605" s="486">
        <v>2754</v>
      </c>
      <c r="L605" s="485">
        <v>14598</v>
      </c>
      <c r="M605" s="485">
        <v>2580</v>
      </c>
      <c r="N605" s="485">
        <v>0</v>
      </c>
      <c r="O605" s="486">
        <v>16103</v>
      </c>
      <c r="P605" s="486">
        <v>830</v>
      </c>
      <c r="Q605" s="486"/>
      <c r="R605" s="485">
        <v>0</v>
      </c>
      <c r="S605" s="486"/>
      <c r="T605" s="483">
        <f t="shared" si="45"/>
        <v>0</v>
      </c>
      <c r="U605" s="484">
        <f t="shared" si="46"/>
        <v>0</v>
      </c>
      <c r="V605" s="485"/>
      <c r="W605" s="486"/>
      <c r="X605" s="485">
        <v>0</v>
      </c>
      <c r="Y605" s="486"/>
      <c r="Z605" s="485"/>
      <c r="AA605" s="485"/>
      <c r="AB605" s="485"/>
      <c r="AC605" s="486"/>
      <c r="AD605" s="486"/>
      <c r="AE605" s="486"/>
      <c r="AF605" s="485"/>
      <c r="AG605" s="486"/>
    </row>
    <row r="606" spans="1:33" s="28" customFormat="1" ht="15" customHeight="1">
      <c r="A606" s="122" t="s">
        <v>674</v>
      </c>
      <c r="B606" s="123" t="s">
        <v>681</v>
      </c>
      <c r="C606" s="159"/>
      <c r="D606" s="125">
        <v>237385</v>
      </c>
      <c r="E606" s="157">
        <v>6</v>
      </c>
      <c r="F606" s="483">
        <f t="shared" si="42"/>
        <v>37051</v>
      </c>
      <c r="G606" s="484">
        <f t="shared" si="43"/>
        <v>34874</v>
      </c>
      <c r="H606" s="485">
        <v>27471</v>
      </c>
      <c r="I606" s="486">
        <v>24503</v>
      </c>
      <c r="J606" s="485">
        <v>3941</v>
      </c>
      <c r="K606" s="486">
        <v>4681</v>
      </c>
      <c r="L606" s="485">
        <v>5639</v>
      </c>
      <c r="M606" s="485">
        <v>0</v>
      </c>
      <c r="N606" s="485">
        <v>0</v>
      </c>
      <c r="O606" s="486">
        <v>5690</v>
      </c>
      <c r="P606" s="486"/>
      <c r="Q606" s="486"/>
      <c r="R606" s="485">
        <v>0</v>
      </c>
      <c r="S606" s="486"/>
      <c r="T606" s="483">
        <f t="shared" si="45"/>
        <v>0</v>
      </c>
      <c r="U606" s="484">
        <f t="shared" si="46"/>
        <v>0</v>
      </c>
      <c r="V606" s="485"/>
      <c r="W606" s="486"/>
      <c r="X606" s="485"/>
      <c r="Y606" s="486"/>
      <c r="Z606" s="485"/>
      <c r="AA606" s="485"/>
      <c r="AB606" s="485"/>
      <c r="AC606" s="486"/>
      <c r="AD606" s="486"/>
      <c r="AE606" s="486"/>
      <c r="AF606" s="485"/>
      <c r="AG606" s="486"/>
    </row>
    <row r="607" spans="1:33">
      <c r="A607" s="122" t="s">
        <v>674</v>
      </c>
      <c r="B607" s="123" t="s">
        <v>683</v>
      </c>
      <c r="C607" s="124" t="s">
        <v>959</v>
      </c>
      <c r="D607" s="125">
        <v>237899</v>
      </c>
      <c r="E607" s="157">
        <v>6</v>
      </c>
      <c r="F607" s="483">
        <f t="shared" si="42"/>
        <v>68222</v>
      </c>
      <c r="G607" s="484">
        <f t="shared" si="43"/>
        <v>68814</v>
      </c>
      <c r="H607" s="485">
        <v>39002</v>
      </c>
      <c r="I607" s="486">
        <v>34848</v>
      </c>
      <c r="J607" s="485">
        <v>12479</v>
      </c>
      <c r="K607" s="486">
        <v>14500</v>
      </c>
      <c r="L607" s="485">
        <v>16741</v>
      </c>
      <c r="M607" s="485">
        <v>0</v>
      </c>
      <c r="N607" s="485">
        <v>0</v>
      </c>
      <c r="O607" s="486">
        <v>19466</v>
      </c>
      <c r="P607" s="486"/>
      <c r="Q607" s="486"/>
      <c r="R607" s="485">
        <v>0</v>
      </c>
      <c r="S607" s="486"/>
      <c r="T607" s="483">
        <f t="shared" si="45"/>
        <v>1887</v>
      </c>
      <c r="U607" s="484">
        <f t="shared" si="46"/>
        <v>2304</v>
      </c>
      <c r="V607" s="485">
        <v>1293</v>
      </c>
      <c r="W607" s="486">
        <v>1635</v>
      </c>
      <c r="X607" s="485">
        <v>87</v>
      </c>
      <c r="Y607" s="486">
        <v>3</v>
      </c>
      <c r="Z607" s="485">
        <v>507</v>
      </c>
      <c r="AA607" s="485"/>
      <c r="AB607" s="485"/>
      <c r="AC607" s="486">
        <v>666</v>
      </c>
      <c r="AD607" s="486"/>
      <c r="AE607" s="486"/>
      <c r="AF607" s="485"/>
      <c r="AG607" s="486"/>
    </row>
    <row r="608" spans="1:33" s="28" customFormat="1" ht="12.75" customHeight="1">
      <c r="A608" s="122" t="s">
        <v>674</v>
      </c>
      <c r="B608" s="123" t="s">
        <v>685</v>
      </c>
      <c r="C608" s="124"/>
      <c r="D608" s="125">
        <v>237950</v>
      </c>
      <c r="E608" s="157">
        <v>6</v>
      </c>
      <c r="F608" s="483">
        <f t="shared" ref="F608:F644" si="47">SUM(H608,J608,L608,M608,N608,R608)</f>
        <v>35706</v>
      </c>
      <c r="G608" s="484">
        <f t="shared" ref="G608:G644" si="48">SUM(I608,K608,O608,P608,Q608,S608)</f>
        <v>39491</v>
      </c>
      <c r="H608" s="485">
        <v>29862</v>
      </c>
      <c r="I608" s="486">
        <v>31605</v>
      </c>
      <c r="J608" s="485">
        <v>66</v>
      </c>
      <c r="K608" s="486">
        <v>132</v>
      </c>
      <c r="L608" s="485">
        <v>5775</v>
      </c>
      <c r="M608" s="485">
        <v>0</v>
      </c>
      <c r="N608" s="485">
        <v>3</v>
      </c>
      <c r="O608" s="486">
        <v>7754</v>
      </c>
      <c r="P608" s="486"/>
      <c r="Q608" s="486"/>
      <c r="R608" s="485">
        <v>0</v>
      </c>
      <c r="S608" s="486"/>
      <c r="T608" s="483">
        <f t="shared" si="45"/>
        <v>0</v>
      </c>
      <c r="U608" s="484">
        <f t="shared" si="46"/>
        <v>0</v>
      </c>
      <c r="V608" s="485"/>
      <c r="W608" s="486"/>
      <c r="X608" s="485"/>
      <c r="Y608" s="486"/>
      <c r="Z608" s="485"/>
      <c r="AA608" s="485"/>
      <c r="AB608" s="485"/>
      <c r="AC608" s="486"/>
      <c r="AD608" s="486"/>
      <c r="AE608" s="486"/>
      <c r="AF608" s="485"/>
      <c r="AG608" s="486"/>
    </row>
    <row r="609" spans="1:33" s="28" customFormat="1" ht="12.75" customHeight="1">
      <c r="A609" s="122" t="s">
        <v>674</v>
      </c>
      <c r="B609" s="160" t="s">
        <v>686</v>
      </c>
      <c r="C609" s="161"/>
      <c r="D609" s="125">
        <v>237701</v>
      </c>
      <c r="E609" s="157">
        <v>7</v>
      </c>
      <c r="F609" s="483">
        <f t="shared" si="47"/>
        <v>34687</v>
      </c>
      <c r="G609" s="484">
        <f t="shared" si="48"/>
        <v>33294</v>
      </c>
      <c r="H609" s="485">
        <v>29684</v>
      </c>
      <c r="I609" s="486">
        <v>27656</v>
      </c>
      <c r="J609" s="485">
        <v>1614</v>
      </c>
      <c r="K609" s="486">
        <v>1878</v>
      </c>
      <c r="L609" s="485">
        <v>3385</v>
      </c>
      <c r="M609" s="485">
        <v>0</v>
      </c>
      <c r="N609" s="485">
        <v>4</v>
      </c>
      <c r="O609" s="486">
        <v>3758</v>
      </c>
      <c r="P609" s="486"/>
      <c r="Q609" s="486">
        <v>2</v>
      </c>
      <c r="R609" s="485">
        <v>0</v>
      </c>
      <c r="S609" s="486"/>
      <c r="T609" s="483">
        <f t="shared" si="45"/>
        <v>0</v>
      </c>
      <c r="U609" s="484">
        <f t="shared" si="46"/>
        <v>0</v>
      </c>
      <c r="V609" s="485"/>
      <c r="W609" s="486"/>
      <c r="X609" s="485"/>
      <c r="Y609" s="486"/>
      <c r="Z609" s="485"/>
      <c r="AA609" s="485"/>
      <c r="AB609" s="485"/>
      <c r="AC609" s="486"/>
      <c r="AD609" s="486"/>
      <c r="AE609" s="486"/>
      <c r="AF609" s="485"/>
      <c r="AG609" s="486"/>
    </row>
    <row r="610" spans="1:33">
      <c r="A610" s="122" t="s">
        <v>674</v>
      </c>
      <c r="B610" s="123" t="s">
        <v>684</v>
      </c>
      <c r="C610" s="124"/>
      <c r="D610" s="125">
        <v>237686</v>
      </c>
      <c r="E610" s="157">
        <v>7</v>
      </c>
      <c r="F610" s="483">
        <f t="shared" si="47"/>
        <v>56441</v>
      </c>
      <c r="G610" s="484">
        <f t="shared" si="48"/>
        <v>53842</v>
      </c>
      <c r="H610" s="485">
        <v>32475</v>
      </c>
      <c r="I610" s="486">
        <v>25873</v>
      </c>
      <c r="J610" s="485">
        <v>4321</v>
      </c>
      <c r="K610" s="486">
        <v>4021</v>
      </c>
      <c r="L610" s="485">
        <v>17072</v>
      </c>
      <c r="M610" s="485">
        <v>0</v>
      </c>
      <c r="N610" s="485">
        <v>2573</v>
      </c>
      <c r="O610" s="486">
        <v>23948</v>
      </c>
      <c r="P610" s="486"/>
      <c r="Q610" s="486"/>
      <c r="R610" s="485">
        <v>0</v>
      </c>
      <c r="S610" s="486"/>
      <c r="T610" s="483">
        <f t="shared" si="45"/>
        <v>0</v>
      </c>
      <c r="U610" s="484">
        <f t="shared" si="46"/>
        <v>0</v>
      </c>
      <c r="V610" s="485"/>
      <c r="W610" s="486"/>
      <c r="X610" s="485"/>
      <c r="Y610" s="486"/>
      <c r="Z610" s="485"/>
      <c r="AA610" s="485"/>
      <c r="AB610" s="485"/>
      <c r="AC610" s="486"/>
      <c r="AD610" s="486"/>
      <c r="AE610" s="486"/>
      <c r="AF610" s="485"/>
      <c r="AG610" s="486"/>
    </row>
    <row r="611" spans="1:33" s="28" customFormat="1" ht="15" customHeight="1">
      <c r="A611" s="122" t="s">
        <v>674</v>
      </c>
      <c r="B611" s="123" t="s">
        <v>689</v>
      </c>
      <c r="C611" s="124" t="s">
        <v>979</v>
      </c>
      <c r="D611" s="125">
        <v>446774</v>
      </c>
      <c r="E611" s="157">
        <v>10</v>
      </c>
      <c r="F611" s="483">
        <f t="shared" si="47"/>
        <v>60277</v>
      </c>
      <c r="G611" s="484">
        <f t="shared" si="48"/>
        <v>65524</v>
      </c>
      <c r="H611" s="485">
        <v>34659</v>
      </c>
      <c r="I611" s="486">
        <v>40714</v>
      </c>
      <c r="J611" s="485">
        <v>9572</v>
      </c>
      <c r="K611" s="486">
        <v>9418</v>
      </c>
      <c r="L611" s="485">
        <v>16046</v>
      </c>
      <c r="M611" s="485">
        <v>0</v>
      </c>
      <c r="N611" s="485">
        <v>0</v>
      </c>
      <c r="O611" s="486">
        <v>15392</v>
      </c>
      <c r="P611" s="486"/>
      <c r="Q611" s="486"/>
      <c r="R611" s="485">
        <v>0</v>
      </c>
      <c r="S611" s="486"/>
      <c r="T611" s="483">
        <f t="shared" si="45"/>
        <v>0</v>
      </c>
      <c r="U611" s="484">
        <f t="shared" si="46"/>
        <v>0</v>
      </c>
      <c r="V611" s="485"/>
      <c r="W611" s="486"/>
      <c r="X611" s="485"/>
      <c r="Y611" s="486"/>
      <c r="Z611" s="485"/>
      <c r="AA611" s="485"/>
      <c r="AB611" s="485"/>
      <c r="AC611" s="486"/>
      <c r="AD611" s="486"/>
      <c r="AE611" s="486"/>
      <c r="AF611" s="485"/>
      <c r="AG611" s="486"/>
    </row>
    <row r="612" spans="1:33" s="28" customFormat="1" ht="15" customHeight="1">
      <c r="A612" s="122" t="s">
        <v>674</v>
      </c>
      <c r="B612" s="162" t="s">
        <v>690</v>
      </c>
      <c r="C612" s="124" t="s">
        <v>691</v>
      </c>
      <c r="D612" s="163">
        <v>484932</v>
      </c>
      <c r="E612" s="157">
        <v>10</v>
      </c>
      <c r="F612" s="483">
        <f t="shared" si="47"/>
        <v>40352</v>
      </c>
      <c r="G612" s="484">
        <f t="shared" si="48"/>
        <v>38379</v>
      </c>
      <c r="H612" s="485">
        <v>32122</v>
      </c>
      <c r="I612" s="486">
        <v>30012</v>
      </c>
      <c r="J612" s="485">
        <v>139</v>
      </c>
      <c r="K612" s="486">
        <v>102</v>
      </c>
      <c r="L612" s="485">
        <v>8091</v>
      </c>
      <c r="M612" s="485">
        <v>0</v>
      </c>
      <c r="N612" s="485">
        <v>0</v>
      </c>
      <c r="O612" s="486">
        <v>8265</v>
      </c>
      <c r="P612" s="486"/>
      <c r="Q612" s="486"/>
      <c r="R612" s="485">
        <v>0</v>
      </c>
      <c r="S612" s="486"/>
      <c r="T612" s="483">
        <f t="shared" si="45"/>
        <v>0</v>
      </c>
      <c r="U612" s="484">
        <f t="shared" si="46"/>
        <v>0</v>
      </c>
      <c r="V612" s="485"/>
      <c r="W612" s="486"/>
      <c r="X612" s="485"/>
      <c r="Y612" s="486"/>
      <c r="Z612" s="485"/>
      <c r="AA612" s="485"/>
      <c r="AB612" s="485"/>
      <c r="AC612" s="486"/>
      <c r="AD612" s="486"/>
      <c r="AE612" s="486"/>
      <c r="AF612" s="485"/>
      <c r="AG612" s="486"/>
    </row>
    <row r="613" spans="1:33" s="28" customFormat="1" ht="12.75" customHeight="1">
      <c r="A613" s="122" t="s">
        <v>674</v>
      </c>
      <c r="B613" s="123" t="s">
        <v>692</v>
      </c>
      <c r="C613" s="124"/>
      <c r="D613" s="125">
        <v>438708</v>
      </c>
      <c r="E613" s="157">
        <v>10</v>
      </c>
      <c r="F613" s="483">
        <f t="shared" si="47"/>
        <v>8910</v>
      </c>
      <c r="G613" s="484">
        <f t="shared" si="48"/>
        <v>7858</v>
      </c>
      <c r="H613" s="485">
        <v>4018</v>
      </c>
      <c r="I613" s="486">
        <v>3611</v>
      </c>
      <c r="J613" s="485">
        <v>2249</v>
      </c>
      <c r="K613" s="486">
        <v>1733</v>
      </c>
      <c r="L613" s="485">
        <v>2643</v>
      </c>
      <c r="M613" s="485">
        <v>0</v>
      </c>
      <c r="N613" s="485">
        <v>0</v>
      </c>
      <c r="O613" s="486">
        <v>2514</v>
      </c>
      <c r="P613" s="486"/>
      <c r="Q613" s="486"/>
      <c r="R613" s="485">
        <v>0</v>
      </c>
      <c r="S613" s="486"/>
      <c r="T613" s="483">
        <f t="shared" si="45"/>
        <v>0</v>
      </c>
      <c r="U613" s="484">
        <f t="shared" si="46"/>
        <v>0</v>
      </c>
      <c r="V613" s="485"/>
      <c r="W613" s="486"/>
      <c r="X613" s="485"/>
      <c r="Y613" s="486"/>
      <c r="Z613" s="485"/>
      <c r="AA613" s="485"/>
      <c r="AB613" s="485"/>
      <c r="AC613" s="486"/>
      <c r="AD613" s="486"/>
      <c r="AE613" s="486"/>
      <c r="AF613" s="485"/>
      <c r="AG613" s="486"/>
    </row>
    <row r="614" spans="1:33" s="28" customFormat="1" ht="12.75" customHeight="1">
      <c r="A614" s="122" t="s">
        <v>674</v>
      </c>
      <c r="B614" s="123" t="s">
        <v>693</v>
      </c>
      <c r="C614" s="124"/>
      <c r="D614" s="125">
        <v>444954</v>
      </c>
      <c r="E614" s="157">
        <v>10</v>
      </c>
      <c r="F614" s="483">
        <f t="shared" si="47"/>
        <v>41265</v>
      </c>
      <c r="G614" s="484">
        <f t="shared" si="48"/>
        <v>40378</v>
      </c>
      <c r="H614" s="485">
        <v>24300</v>
      </c>
      <c r="I614" s="486">
        <v>23110</v>
      </c>
      <c r="J614" s="485">
        <v>5597</v>
      </c>
      <c r="K614" s="486">
        <v>5174</v>
      </c>
      <c r="L614" s="485">
        <v>11368</v>
      </c>
      <c r="M614" s="485">
        <v>0</v>
      </c>
      <c r="N614" s="485">
        <v>0</v>
      </c>
      <c r="O614" s="486">
        <v>12094</v>
      </c>
      <c r="P614" s="486"/>
      <c r="Q614" s="486"/>
      <c r="R614" s="485">
        <v>0</v>
      </c>
      <c r="S614" s="486"/>
      <c r="T614" s="483">
        <f t="shared" si="45"/>
        <v>0</v>
      </c>
      <c r="U614" s="484">
        <f t="shared" si="46"/>
        <v>0</v>
      </c>
      <c r="V614" s="485"/>
      <c r="W614" s="486"/>
      <c r="X614" s="485"/>
      <c r="Y614" s="486"/>
      <c r="Z614" s="485"/>
      <c r="AA614" s="485"/>
      <c r="AB614" s="485"/>
      <c r="AC614" s="486"/>
      <c r="AD614" s="486"/>
      <c r="AE614" s="486"/>
      <c r="AF614" s="485"/>
      <c r="AG614" s="486"/>
    </row>
    <row r="615" spans="1:33" s="28" customFormat="1" ht="12.75" customHeight="1">
      <c r="A615" s="122" t="s">
        <v>674</v>
      </c>
      <c r="B615" s="123" t="s">
        <v>687</v>
      </c>
      <c r="C615" s="158"/>
      <c r="D615" s="125">
        <v>447582</v>
      </c>
      <c r="E615" s="157">
        <v>10</v>
      </c>
      <c r="F615" s="483">
        <f t="shared" si="47"/>
        <v>30304</v>
      </c>
      <c r="G615" s="484">
        <f t="shared" si="48"/>
        <v>26362</v>
      </c>
      <c r="H615" s="485">
        <v>20210</v>
      </c>
      <c r="I615" s="486">
        <v>17400</v>
      </c>
      <c r="J615" s="485">
        <v>0</v>
      </c>
      <c r="K615" s="486">
        <v>0</v>
      </c>
      <c r="L615" s="485">
        <v>10094</v>
      </c>
      <c r="M615" s="485">
        <v>0</v>
      </c>
      <c r="N615" s="485">
        <v>0</v>
      </c>
      <c r="O615" s="486">
        <v>8962</v>
      </c>
      <c r="P615" s="486"/>
      <c r="Q615" s="486"/>
      <c r="R615" s="485">
        <v>0</v>
      </c>
      <c r="S615" s="486"/>
      <c r="T615" s="483">
        <f t="shared" ref="T615:T644" si="49">SUM(V615,X615,Z615,AA615,AB615,AF615)</f>
        <v>0</v>
      </c>
      <c r="U615" s="484">
        <f t="shared" si="46"/>
        <v>0</v>
      </c>
      <c r="V615" s="485"/>
      <c r="W615" s="486"/>
      <c r="X615" s="485"/>
      <c r="Y615" s="486"/>
      <c r="Z615" s="485"/>
      <c r="AA615" s="485"/>
      <c r="AB615" s="485"/>
      <c r="AC615" s="486"/>
      <c r="AD615" s="486"/>
      <c r="AE615" s="486"/>
      <c r="AF615" s="485"/>
      <c r="AG615" s="486"/>
    </row>
    <row r="616" spans="1:33" s="28" customFormat="1" ht="12.75" customHeight="1">
      <c r="A616" s="122" t="s">
        <v>674</v>
      </c>
      <c r="B616" s="160" t="s">
        <v>688</v>
      </c>
      <c r="C616" s="158"/>
      <c r="D616" s="125">
        <v>443492</v>
      </c>
      <c r="E616" s="157">
        <v>10</v>
      </c>
      <c r="F616" s="483">
        <f t="shared" si="47"/>
        <v>38532</v>
      </c>
      <c r="G616" s="484">
        <f t="shared" si="48"/>
        <v>37538</v>
      </c>
      <c r="H616" s="485">
        <v>15415</v>
      </c>
      <c r="I616" s="486">
        <v>12219</v>
      </c>
      <c r="J616" s="485">
        <v>18751</v>
      </c>
      <c r="K616" s="486">
        <v>18607</v>
      </c>
      <c r="L616" s="485">
        <v>4366</v>
      </c>
      <c r="M616" s="485">
        <v>0</v>
      </c>
      <c r="N616" s="485">
        <v>0</v>
      </c>
      <c r="O616" s="486">
        <v>6712</v>
      </c>
      <c r="P616" s="486"/>
      <c r="Q616" s="486"/>
      <c r="R616" s="485">
        <v>0</v>
      </c>
      <c r="S616" s="486"/>
      <c r="T616" s="483">
        <f t="shared" si="49"/>
        <v>0</v>
      </c>
      <c r="U616" s="484">
        <f t="shared" si="46"/>
        <v>0</v>
      </c>
      <c r="V616" s="485"/>
      <c r="W616" s="486"/>
      <c r="X616" s="485"/>
      <c r="Y616" s="486"/>
      <c r="Z616" s="485"/>
      <c r="AA616" s="485"/>
      <c r="AB616" s="485"/>
      <c r="AC616" s="486"/>
      <c r="AD616" s="486"/>
      <c r="AE616" s="486"/>
      <c r="AF616" s="485"/>
      <c r="AG616" s="486"/>
    </row>
    <row r="617" spans="1:33" s="28" customFormat="1" ht="12.75" customHeight="1">
      <c r="A617" s="122" t="s">
        <v>674</v>
      </c>
      <c r="B617" s="123" t="s">
        <v>694</v>
      </c>
      <c r="C617" s="124"/>
      <c r="D617" s="125">
        <v>237817</v>
      </c>
      <c r="E617" s="157">
        <v>10</v>
      </c>
      <c r="F617" s="483">
        <f t="shared" si="47"/>
        <v>37265</v>
      </c>
      <c r="G617" s="484">
        <f t="shared" si="48"/>
        <v>34276</v>
      </c>
      <c r="H617" s="485">
        <v>20132</v>
      </c>
      <c r="I617" s="486">
        <v>15902</v>
      </c>
      <c r="J617" s="485">
        <v>1167</v>
      </c>
      <c r="K617" s="486">
        <v>1031</v>
      </c>
      <c r="L617" s="485">
        <v>12714</v>
      </c>
      <c r="M617" s="485">
        <v>3252</v>
      </c>
      <c r="N617" s="485">
        <v>0</v>
      </c>
      <c r="O617" s="486">
        <v>14904</v>
      </c>
      <c r="P617" s="486">
        <v>2439</v>
      </c>
      <c r="Q617" s="486"/>
      <c r="R617" s="485">
        <v>0</v>
      </c>
      <c r="S617" s="486"/>
      <c r="T617" s="483">
        <f t="shared" si="49"/>
        <v>0</v>
      </c>
      <c r="U617" s="484">
        <f t="shared" si="46"/>
        <v>0</v>
      </c>
      <c r="V617" s="485"/>
      <c r="W617" s="486"/>
      <c r="X617" s="485"/>
      <c r="Y617" s="486"/>
      <c r="Z617" s="485"/>
      <c r="AA617" s="485"/>
      <c r="AB617" s="485"/>
      <c r="AC617" s="486"/>
      <c r="AD617" s="486"/>
      <c r="AE617" s="486"/>
      <c r="AF617" s="485"/>
      <c r="AG617" s="486"/>
    </row>
    <row r="618" spans="1:33">
      <c r="A618" s="122" t="s">
        <v>674</v>
      </c>
      <c r="B618" s="123" t="s">
        <v>695</v>
      </c>
      <c r="C618" s="126"/>
      <c r="D618" s="125">
        <v>238014</v>
      </c>
      <c r="E618" s="157">
        <v>10</v>
      </c>
      <c r="F618" s="483">
        <f t="shared" si="47"/>
        <v>35866</v>
      </c>
      <c r="G618" s="484">
        <f t="shared" si="48"/>
        <v>32146</v>
      </c>
      <c r="H618" s="485">
        <v>22974</v>
      </c>
      <c r="I618" s="486">
        <v>16238</v>
      </c>
      <c r="J618" s="485">
        <v>0</v>
      </c>
      <c r="K618" s="486">
        <v>0</v>
      </c>
      <c r="L618" s="485">
        <v>10725</v>
      </c>
      <c r="M618" s="485">
        <v>2167</v>
      </c>
      <c r="N618" s="485">
        <v>0</v>
      </c>
      <c r="O618" s="486">
        <v>13926</v>
      </c>
      <c r="P618" s="486">
        <v>1982</v>
      </c>
      <c r="Q618" s="486"/>
      <c r="R618" s="485">
        <v>0</v>
      </c>
      <c r="S618" s="486"/>
      <c r="T618" s="483">
        <f t="shared" si="49"/>
        <v>0</v>
      </c>
      <c r="U618" s="484">
        <f t="shared" si="46"/>
        <v>0</v>
      </c>
      <c r="V618" s="485"/>
      <c r="W618" s="486"/>
      <c r="X618" s="485"/>
      <c r="Y618" s="486"/>
      <c r="Z618" s="485"/>
      <c r="AA618" s="485"/>
      <c r="AB618" s="485"/>
      <c r="AC618" s="486"/>
      <c r="AD618" s="486"/>
      <c r="AE618" s="486"/>
      <c r="AF618" s="485"/>
      <c r="AG618" s="486"/>
    </row>
    <row r="619" spans="1:33" s="28" customFormat="1" ht="13.5" customHeight="1">
      <c r="A619" s="164" t="s">
        <v>674</v>
      </c>
      <c r="B619" s="85" t="s">
        <v>696</v>
      </c>
      <c r="C619" s="165"/>
      <c r="D619" s="166">
        <v>237729</v>
      </c>
      <c r="E619" s="166">
        <v>14</v>
      </c>
      <c r="F619" s="483">
        <f t="shared" si="47"/>
        <v>0</v>
      </c>
      <c r="G619" s="484">
        <f t="shared" si="48"/>
        <v>0</v>
      </c>
      <c r="H619" s="485"/>
      <c r="I619" s="486"/>
      <c r="J619" s="485"/>
      <c r="K619" s="486"/>
      <c r="L619" s="485"/>
      <c r="M619" s="485"/>
      <c r="N619" s="485"/>
      <c r="O619" s="486"/>
      <c r="P619" s="486"/>
      <c r="Q619" s="486"/>
      <c r="R619" s="485"/>
      <c r="S619" s="486"/>
      <c r="T619" s="483">
        <f t="shared" si="49"/>
        <v>0</v>
      </c>
      <c r="U619" s="484">
        <f t="shared" si="46"/>
        <v>0</v>
      </c>
      <c r="V619" s="485"/>
      <c r="W619" s="486"/>
      <c r="X619" s="485"/>
      <c r="Y619" s="486"/>
      <c r="Z619" s="485"/>
      <c r="AA619" s="485"/>
      <c r="AB619" s="485"/>
      <c r="AC619" s="486"/>
      <c r="AD619" s="486"/>
      <c r="AE619" s="486"/>
      <c r="AF619" s="485"/>
      <c r="AG619" s="486"/>
    </row>
    <row r="620" spans="1:33">
      <c r="A620" s="164" t="s">
        <v>674</v>
      </c>
      <c r="B620" s="85" t="s">
        <v>697</v>
      </c>
      <c r="C620" s="165"/>
      <c r="D620" s="166">
        <v>237172</v>
      </c>
      <c r="E620" s="166">
        <v>14</v>
      </c>
      <c r="F620" s="483">
        <f t="shared" si="47"/>
        <v>0</v>
      </c>
      <c r="G620" s="484">
        <f t="shared" si="48"/>
        <v>0</v>
      </c>
      <c r="H620" s="485"/>
      <c r="I620" s="486"/>
      <c r="J620" s="485"/>
      <c r="K620" s="486"/>
      <c r="L620" s="485"/>
      <c r="M620" s="485"/>
      <c r="N620" s="485"/>
      <c r="O620" s="486"/>
      <c r="P620" s="486"/>
      <c r="Q620" s="486"/>
      <c r="R620" s="485"/>
      <c r="S620" s="486"/>
      <c r="T620" s="483">
        <f t="shared" si="49"/>
        <v>0</v>
      </c>
      <c r="U620" s="484">
        <f t="shared" si="46"/>
        <v>0</v>
      </c>
      <c r="V620" s="485"/>
      <c r="W620" s="486"/>
      <c r="X620" s="485"/>
      <c r="Y620" s="486"/>
      <c r="Z620" s="485"/>
      <c r="AA620" s="485"/>
      <c r="AB620" s="485"/>
      <c r="AC620" s="486"/>
      <c r="AD620" s="486"/>
      <c r="AE620" s="486"/>
      <c r="AF620" s="485"/>
      <c r="AG620" s="486"/>
    </row>
    <row r="621" spans="1:33">
      <c r="A621" s="167" t="s">
        <v>674</v>
      </c>
      <c r="B621" s="165" t="s">
        <v>698</v>
      </c>
      <c r="C621" s="165"/>
      <c r="D621" s="166">
        <v>237224</v>
      </c>
      <c r="E621" s="166">
        <v>14</v>
      </c>
      <c r="F621" s="483">
        <f t="shared" si="47"/>
        <v>0</v>
      </c>
      <c r="G621" s="484">
        <f t="shared" si="48"/>
        <v>0</v>
      </c>
      <c r="H621" s="485"/>
      <c r="I621" s="486"/>
      <c r="J621" s="485"/>
      <c r="K621" s="486"/>
      <c r="L621" s="485"/>
      <c r="M621" s="485"/>
      <c r="N621" s="485"/>
      <c r="O621" s="486"/>
      <c r="P621" s="486"/>
      <c r="Q621" s="486"/>
      <c r="R621" s="485"/>
      <c r="S621" s="486"/>
      <c r="T621" s="483">
        <f t="shared" si="49"/>
        <v>0</v>
      </c>
      <c r="U621" s="484">
        <f t="shared" si="46"/>
        <v>0</v>
      </c>
      <c r="V621" s="485"/>
      <c r="W621" s="486"/>
      <c r="X621" s="485"/>
      <c r="Y621" s="486"/>
      <c r="Z621" s="485"/>
      <c r="AA621" s="485"/>
      <c r="AB621" s="485"/>
      <c r="AC621" s="486"/>
      <c r="AD621" s="486"/>
      <c r="AE621" s="486"/>
      <c r="AF621" s="485"/>
      <c r="AG621" s="486"/>
    </row>
    <row r="622" spans="1:33">
      <c r="A622" s="167" t="s">
        <v>674</v>
      </c>
      <c r="B622" s="85" t="s">
        <v>699</v>
      </c>
      <c r="C622" s="165"/>
      <c r="D622" s="166">
        <v>237242</v>
      </c>
      <c r="E622" s="166">
        <v>14</v>
      </c>
      <c r="F622" s="483">
        <f t="shared" si="47"/>
        <v>0</v>
      </c>
      <c r="G622" s="484">
        <f t="shared" si="48"/>
        <v>0</v>
      </c>
      <c r="H622" s="485"/>
      <c r="I622" s="486"/>
      <c r="J622" s="485"/>
      <c r="K622" s="486"/>
      <c r="L622" s="485"/>
      <c r="M622" s="485"/>
      <c r="N622" s="485"/>
      <c r="O622" s="486"/>
      <c r="P622" s="486"/>
      <c r="Q622" s="486"/>
      <c r="R622" s="485"/>
      <c r="S622" s="486"/>
      <c r="T622" s="483">
        <f t="shared" si="49"/>
        <v>0</v>
      </c>
      <c r="U622" s="484">
        <f t="shared" si="46"/>
        <v>0</v>
      </c>
      <c r="V622" s="485"/>
      <c r="W622" s="486"/>
      <c r="X622" s="485"/>
      <c r="Y622" s="486"/>
      <c r="Z622" s="485"/>
      <c r="AA622" s="485"/>
      <c r="AB622" s="485"/>
      <c r="AC622" s="486"/>
      <c r="AD622" s="486"/>
      <c r="AE622" s="486"/>
      <c r="AF622" s="485"/>
      <c r="AG622" s="486"/>
    </row>
    <row r="623" spans="1:33">
      <c r="A623" s="164" t="s">
        <v>674</v>
      </c>
      <c r="B623" s="85" t="s">
        <v>700</v>
      </c>
      <c r="C623" s="165"/>
      <c r="D623" s="166">
        <v>430795</v>
      </c>
      <c r="E623" s="166">
        <v>14</v>
      </c>
      <c r="F623" s="483">
        <f t="shared" si="47"/>
        <v>0</v>
      </c>
      <c r="G623" s="484">
        <f t="shared" si="48"/>
        <v>0</v>
      </c>
      <c r="H623" s="485"/>
      <c r="I623" s="486"/>
      <c r="J623" s="485"/>
      <c r="K623" s="486"/>
      <c r="L623" s="485"/>
      <c r="M623" s="485"/>
      <c r="N623" s="485"/>
      <c r="O623" s="486"/>
      <c r="P623" s="486"/>
      <c r="Q623" s="486"/>
      <c r="R623" s="485"/>
      <c r="S623" s="486"/>
      <c r="T623" s="483">
        <f t="shared" si="49"/>
        <v>0</v>
      </c>
      <c r="U623" s="484">
        <f t="shared" si="46"/>
        <v>0</v>
      </c>
      <c r="V623" s="485"/>
      <c r="W623" s="486"/>
      <c r="X623" s="485"/>
      <c r="Y623" s="486"/>
      <c r="Z623" s="485"/>
      <c r="AA623" s="485"/>
      <c r="AB623" s="485"/>
      <c r="AC623" s="486"/>
      <c r="AD623" s="486"/>
      <c r="AE623" s="486"/>
      <c r="AF623" s="485"/>
      <c r="AG623" s="486"/>
    </row>
    <row r="624" spans="1:33">
      <c r="A624" s="164" t="s">
        <v>674</v>
      </c>
      <c r="B624" s="165" t="s">
        <v>701</v>
      </c>
      <c r="C624" s="165"/>
      <c r="D624" s="166">
        <v>413176</v>
      </c>
      <c r="E624" s="166">
        <v>14</v>
      </c>
      <c r="F624" s="483">
        <f t="shared" si="47"/>
        <v>0</v>
      </c>
      <c r="G624" s="484">
        <f t="shared" si="48"/>
        <v>0</v>
      </c>
      <c r="H624" s="485"/>
      <c r="I624" s="486"/>
      <c r="J624" s="485"/>
      <c r="K624" s="486"/>
      <c r="L624" s="485"/>
      <c r="M624" s="485"/>
      <c r="N624" s="485"/>
      <c r="O624" s="486"/>
      <c r="P624" s="486"/>
      <c r="Q624" s="486"/>
      <c r="R624" s="485"/>
      <c r="S624" s="486"/>
      <c r="T624" s="483">
        <f t="shared" si="49"/>
        <v>0</v>
      </c>
      <c r="U624" s="484">
        <f t="shared" si="46"/>
        <v>0</v>
      </c>
      <c r="V624" s="485"/>
      <c r="W624" s="486"/>
      <c r="X624" s="485"/>
      <c r="Y624" s="486"/>
      <c r="Z624" s="485"/>
      <c r="AA624" s="485"/>
      <c r="AB624" s="485"/>
      <c r="AC624" s="486"/>
      <c r="AD624" s="486"/>
      <c r="AE624" s="486"/>
      <c r="AF624" s="485"/>
      <c r="AG624" s="486"/>
    </row>
    <row r="625" spans="1:33">
      <c r="A625" s="167" t="s">
        <v>674</v>
      </c>
      <c r="B625" s="165" t="s">
        <v>702</v>
      </c>
      <c r="C625" s="165"/>
      <c r="D625" s="166">
        <v>237844</v>
      </c>
      <c r="E625" s="166">
        <v>14</v>
      </c>
      <c r="F625" s="483">
        <f t="shared" si="47"/>
        <v>0</v>
      </c>
      <c r="G625" s="484">
        <f t="shared" si="48"/>
        <v>0</v>
      </c>
      <c r="H625" s="485"/>
      <c r="I625" s="486"/>
      <c r="J625" s="485"/>
      <c r="K625" s="486"/>
      <c r="L625" s="485"/>
      <c r="M625" s="485"/>
      <c r="N625" s="485"/>
      <c r="O625" s="486"/>
      <c r="P625" s="486"/>
      <c r="Q625" s="486"/>
      <c r="R625" s="485"/>
      <c r="S625" s="486"/>
      <c r="T625" s="483">
        <f t="shared" si="49"/>
        <v>0</v>
      </c>
      <c r="U625" s="484">
        <f t="shared" si="46"/>
        <v>0</v>
      </c>
      <c r="V625" s="485"/>
      <c r="W625" s="486"/>
      <c r="X625" s="485"/>
      <c r="Y625" s="486"/>
      <c r="Z625" s="485"/>
      <c r="AA625" s="485"/>
      <c r="AB625" s="485"/>
      <c r="AC625" s="486"/>
      <c r="AD625" s="486"/>
      <c r="AE625" s="486"/>
      <c r="AF625" s="485"/>
      <c r="AG625" s="486"/>
    </row>
    <row r="626" spans="1:33">
      <c r="A626" s="167" t="s">
        <v>674</v>
      </c>
      <c r="B626" s="165" t="s">
        <v>703</v>
      </c>
      <c r="C626" s="165"/>
      <c r="D626" s="166">
        <v>431169</v>
      </c>
      <c r="E626" s="166">
        <v>14</v>
      </c>
      <c r="F626" s="483">
        <f t="shared" si="47"/>
        <v>0</v>
      </c>
      <c r="G626" s="484">
        <f t="shared" si="48"/>
        <v>0</v>
      </c>
      <c r="H626" s="485"/>
      <c r="I626" s="486"/>
      <c r="J626" s="485"/>
      <c r="K626" s="486"/>
      <c r="L626" s="485"/>
      <c r="M626" s="485"/>
      <c r="N626" s="485"/>
      <c r="O626" s="486"/>
      <c r="P626" s="486"/>
      <c r="Q626" s="486"/>
      <c r="R626" s="485"/>
      <c r="S626" s="486"/>
      <c r="T626" s="483">
        <f t="shared" si="49"/>
        <v>0</v>
      </c>
      <c r="U626" s="484">
        <f t="shared" si="46"/>
        <v>0</v>
      </c>
      <c r="V626" s="485"/>
      <c r="W626" s="486"/>
      <c r="X626" s="485"/>
      <c r="Y626" s="486"/>
      <c r="Z626" s="485"/>
      <c r="AA626" s="485"/>
      <c r="AB626" s="485"/>
      <c r="AC626" s="486"/>
      <c r="AD626" s="486"/>
      <c r="AE626" s="486"/>
      <c r="AF626" s="485"/>
      <c r="AG626" s="486"/>
    </row>
    <row r="627" spans="1:33">
      <c r="A627" s="164" t="s">
        <v>674</v>
      </c>
      <c r="B627" s="165" t="s">
        <v>704</v>
      </c>
      <c r="C627" s="165"/>
      <c r="D627" s="166">
        <v>237473</v>
      </c>
      <c r="E627" s="166">
        <v>14</v>
      </c>
      <c r="F627" s="483">
        <f t="shared" si="47"/>
        <v>0</v>
      </c>
      <c r="G627" s="484">
        <f t="shared" si="48"/>
        <v>0</v>
      </c>
      <c r="H627" s="485"/>
      <c r="I627" s="486"/>
      <c r="J627" s="485"/>
      <c r="K627" s="486"/>
      <c r="L627" s="485"/>
      <c r="M627" s="485"/>
      <c r="N627" s="485"/>
      <c r="O627" s="486"/>
      <c r="P627" s="486"/>
      <c r="Q627" s="486"/>
      <c r="R627" s="485"/>
      <c r="S627" s="486"/>
      <c r="T627" s="483">
        <f t="shared" si="49"/>
        <v>0</v>
      </c>
      <c r="U627" s="484">
        <f t="shared" si="46"/>
        <v>0</v>
      </c>
      <c r="V627" s="485"/>
      <c r="W627" s="486"/>
      <c r="X627" s="485"/>
      <c r="Y627" s="486"/>
      <c r="Z627" s="485"/>
      <c r="AA627" s="485"/>
      <c r="AB627" s="485"/>
      <c r="AC627" s="486"/>
      <c r="AD627" s="486"/>
      <c r="AE627" s="486"/>
      <c r="AF627" s="485"/>
      <c r="AG627" s="486"/>
    </row>
    <row r="628" spans="1:33">
      <c r="A628" s="167" t="s">
        <v>674</v>
      </c>
      <c r="B628" s="165" t="s">
        <v>705</v>
      </c>
      <c r="C628" s="165"/>
      <c r="D628" s="166">
        <v>446349</v>
      </c>
      <c r="E628" s="166">
        <v>14</v>
      </c>
      <c r="F628" s="483">
        <f t="shared" si="47"/>
        <v>0</v>
      </c>
      <c r="G628" s="484">
        <f t="shared" si="48"/>
        <v>0</v>
      </c>
      <c r="H628" s="485"/>
      <c r="I628" s="486"/>
      <c r="J628" s="485"/>
      <c r="K628" s="486"/>
      <c r="L628" s="485"/>
      <c r="M628" s="485"/>
      <c r="N628" s="485"/>
      <c r="O628" s="486"/>
      <c r="P628" s="486"/>
      <c r="Q628" s="486"/>
      <c r="R628" s="485"/>
      <c r="S628" s="486"/>
      <c r="T628" s="483">
        <f t="shared" si="49"/>
        <v>0</v>
      </c>
      <c r="U628" s="484">
        <f t="shared" si="46"/>
        <v>0</v>
      </c>
      <c r="V628" s="485"/>
      <c r="W628" s="486"/>
      <c r="X628" s="485"/>
      <c r="Y628" s="486"/>
      <c r="Z628" s="485"/>
      <c r="AA628" s="485"/>
      <c r="AB628" s="485"/>
      <c r="AC628" s="486"/>
      <c r="AD628" s="486"/>
      <c r="AE628" s="486"/>
      <c r="AF628" s="485"/>
      <c r="AG628" s="486"/>
    </row>
    <row r="629" spans="1:33">
      <c r="A629" s="167" t="s">
        <v>674</v>
      </c>
      <c r="B629" s="165" t="s">
        <v>706</v>
      </c>
      <c r="C629" s="165"/>
      <c r="D629" s="166">
        <v>237516</v>
      </c>
      <c r="E629" s="166">
        <v>14</v>
      </c>
      <c r="F629" s="483">
        <f t="shared" si="47"/>
        <v>0</v>
      </c>
      <c r="G629" s="484">
        <f t="shared" si="48"/>
        <v>0</v>
      </c>
      <c r="H629" s="485"/>
      <c r="I629" s="486"/>
      <c r="J629" s="485"/>
      <c r="K629" s="486"/>
      <c r="L629" s="485"/>
      <c r="M629" s="485"/>
      <c r="N629" s="485"/>
      <c r="O629" s="486"/>
      <c r="P629" s="486"/>
      <c r="Q629" s="486"/>
      <c r="R629" s="485"/>
      <c r="S629" s="486"/>
      <c r="T629" s="483">
        <f t="shared" si="49"/>
        <v>0</v>
      </c>
      <c r="U629" s="484">
        <f t="shared" ref="U629:U644" si="50">SUM(W629,Y629,AC629,AD629,AE629,AG629)</f>
        <v>0</v>
      </c>
      <c r="V629" s="485"/>
      <c r="W629" s="486"/>
      <c r="X629" s="485"/>
      <c r="Y629" s="486"/>
      <c r="Z629" s="485"/>
      <c r="AA629" s="485"/>
      <c r="AB629" s="485"/>
      <c r="AC629" s="486"/>
      <c r="AD629" s="486"/>
      <c r="AE629" s="486"/>
      <c r="AF629" s="485"/>
      <c r="AG629" s="486"/>
    </row>
    <row r="630" spans="1:33">
      <c r="A630" s="167" t="s">
        <v>674</v>
      </c>
      <c r="B630" s="165" t="s">
        <v>707</v>
      </c>
      <c r="C630" s="165"/>
      <c r="D630" s="166">
        <v>237534</v>
      </c>
      <c r="E630" s="166">
        <v>14</v>
      </c>
      <c r="F630" s="483">
        <f t="shared" si="47"/>
        <v>0</v>
      </c>
      <c r="G630" s="484">
        <f t="shared" si="48"/>
        <v>0</v>
      </c>
      <c r="H630" s="485"/>
      <c r="I630" s="486"/>
      <c r="J630" s="485"/>
      <c r="K630" s="486"/>
      <c r="L630" s="485"/>
      <c r="M630" s="485"/>
      <c r="N630" s="485"/>
      <c r="O630" s="486"/>
      <c r="P630" s="486"/>
      <c r="Q630" s="486"/>
      <c r="R630" s="485"/>
      <c r="S630" s="486"/>
      <c r="T630" s="483">
        <f t="shared" si="49"/>
        <v>0</v>
      </c>
      <c r="U630" s="484">
        <f t="shared" si="50"/>
        <v>0</v>
      </c>
      <c r="V630" s="485"/>
      <c r="W630" s="486"/>
      <c r="X630" s="485"/>
      <c r="Y630" s="486"/>
      <c r="Z630" s="485"/>
      <c r="AA630" s="485"/>
      <c r="AB630" s="485"/>
      <c r="AC630" s="486"/>
      <c r="AD630" s="486"/>
      <c r="AE630" s="486"/>
      <c r="AF630" s="485"/>
      <c r="AG630" s="486"/>
    </row>
    <row r="631" spans="1:33">
      <c r="A631" s="164" t="s">
        <v>674</v>
      </c>
      <c r="B631" s="85" t="s">
        <v>708</v>
      </c>
      <c r="C631" s="165"/>
      <c r="D631" s="166">
        <v>237543</v>
      </c>
      <c r="E631" s="166">
        <v>14</v>
      </c>
      <c r="F631" s="483">
        <f t="shared" si="47"/>
        <v>0</v>
      </c>
      <c r="G631" s="484">
        <f t="shared" si="48"/>
        <v>0</v>
      </c>
      <c r="H631" s="485"/>
      <c r="I631" s="486"/>
      <c r="J631" s="485"/>
      <c r="K631" s="486"/>
      <c r="L631" s="485"/>
      <c r="M631" s="485"/>
      <c r="N631" s="485"/>
      <c r="O631" s="486"/>
      <c r="P631" s="486"/>
      <c r="Q631" s="486"/>
      <c r="R631" s="485"/>
      <c r="S631" s="486"/>
      <c r="T631" s="483">
        <f t="shared" si="49"/>
        <v>0</v>
      </c>
      <c r="U631" s="484">
        <f t="shared" si="50"/>
        <v>0</v>
      </c>
      <c r="V631" s="485"/>
      <c r="W631" s="486"/>
      <c r="X631" s="485"/>
      <c r="Y631" s="486"/>
      <c r="Z631" s="485"/>
      <c r="AA631" s="485"/>
      <c r="AB631" s="485"/>
      <c r="AC631" s="486"/>
      <c r="AD631" s="486"/>
      <c r="AE631" s="486"/>
      <c r="AF631" s="485"/>
      <c r="AG631" s="486"/>
    </row>
    <row r="632" spans="1:33">
      <c r="A632" s="167" t="s">
        <v>674</v>
      </c>
      <c r="B632" s="165" t="s">
        <v>709</v>
      </c>
      <c r="C632" s="165"/>
      <c r="D632" s="166">
        <v>368647</v>
      </c>
      <c r="E632" s="166">
        <v>14</v>
      </c>
      <c r="F632" s="483">
        <f t="shared" si="47"/>
        <v>0</v>
      </c>
      <c r="G632" s="484">
        <f t="shared" si="48"/>
        <v>0</v>
      </c>
      <c r="H632" s="485"/>
      <c r="I632" s="486"/>
      <c r="J632" s="485"/>
      <c r="K632" s="486"/>
      <c r="L632" s="485"/>
      <c r="M632" s="485"/>
      <c r="N632" s="485"/>
      <c r="O632" s="486"/>
      <c r="P632" s="486"/>
      <c r="Q632" s="486"/>
      <c r="R632" s="485"/>
      <c r="S632" s="486"/>
      <c r="T632" s="483">
        <f t="shared" si="49"/>
        <v>0</v>
      </c>
      <c r="U632" s="484">
        <f t="shared" si="50"/>
        <v>0</v>
      </c>
      <c r="V632" s="485"/>
      <c r="W632" s="486"/>
      <c r="X632" s="485"/>
      <c r="Y632" s="486"/>
      <c r="Z632" s="485"/>
      <c r="AA632" s="485"/>
      <c r="AB632" s="485"/>
      <c r="AC632" s="486"/>
      <c r="AD632" s="486"/>
      <c r="AE632" s="486"/>
      <c r="AF632" s="485"/>
      <c r="AG632" s="486"/>
    </row>
    <row r="633" spans="1:33">
      <c r="A633" s="167" t="s">
        <v>674</v>
      </c>
      <c r="B633" s="165" t="s">
        <v>710</v>
      </c>
      <c r="C633" s="165"/>
      <c r="D633" s="166">
        <v>237561</v>
      </c>
      <c r="E633" s="166">
        <v>14</v>
      </c>
      <c r="F633" s="483">
        <f t="shared" si="47"/>
        <v>0</v>
      </c>
      <c r="G633" s="484">
        <f t="shared" si="48"/>
        <v>0</v>
      </c>
      <c r="H633" s="485"/>
      <c r="I633" s="486"/>
      <c r="J633" s="485"/>
      <c r="K633" s="486"/>
      <c r="L633" s="485"/>
      <c r="M633" s="485"/>
      <c r="N633" s="485"/>
      <c r="O633" s="486"/>
      <c r="P633" s="486"/>
      <c r="Q633" s="486"/>
      <c r="R633" s="485"/>
      <c r="S633" s="486"/>
      <c r="T633" s="483">
        <f t="shared" si="49"/>
        <v>0</v>
      </c>
      <c r="U633" s="484">
        <f t="shared" si="50"/>
        <v>0</v>
      </c>
      <c r="V633" s="485"/>
      <c r="W633" s="486"/>
      <c r="X633" s="485"/>
      <c r="Y633" s="486"/>
      <c r="Z633" s="485"/>
      <c r="AA633" s="485"/>
      <c r="AB633" s="485"/>
      <c r="AC633" s="486"/>
      <c r="AD633" s="486"/>
      <c r="AE633" s="486"/>
      <c r="AF633" s="485"/>
      <c r="AG633" s="486"/>
    </row>
    <row r="634" spans="1:33">
      <c r="A634" s="167" t="s">
        <v>674</v>
      </c>
      <c r="B634" s="85" t="s">
        <v>711</v>
      </c>
      <c r="C634" s="165"/>
      <c r="D634" s="166">
        <v>419420</v>
      </c>
      <c r="E634" s="166">
        <v>14</v>
      </c>
      <c r="F634" s="483">
        <f t="shared" si="47"/>
        <v>0</v>
      </c>
      <c r="G634" s="484">
        <f t="shared" si="48"/>
        <v>0</v>
      </c>
      <c r="H634" s="485"/>
      <c r="I634" s="486"/>
      <c r="J634" s="485"/>
      <c r="K634" s="486"/>
      <c r="L634" s="485"/>
      <c r="M634" s="485"/>
      <c r="N634" s="485"/>
      <c r="O634" s="486"/>
      <c r="P634" s="486"/>
      <c r="Q634" s="486"/>
      <c r="R634" s="485"/>
      <c r="S634" s="486"/>
      <c r="T634" s="483">
        <f t="shared" si="49"/>
        <v>0</v>
      </c>
      <c r="U634" s="484">
        <f t="shared" si="50"/>
        <v>0</v>
      </c>
      <c r="V634" s="485"/>
      <c r="W634" s="486"/>
      <c r="X634" s="485"/>
      <c r="Y634" s="486"/>
      <c r="Z634" s="485"/>
      <c r="AA634" s="485"/>
      <c r="AB634" s="485"/>
      <c r="AC634" s="486"/>
      <c r="AD634" s="486"/>
      <c r="AE634" s="486"/>
      <c r="AF634" s="485"/>
      <c r="AG634" s="486"/>
    </row>
    <row r="635" spans="1:33">
      <c r="A635" s="167" t="s">
        <v>674</v>
      </c>
      <c r="B635" s="85" t="s">
        <v>712</v>
      </c>
      <c r="C635" s="165"/>
      <c r="D635" s="166">
        <v>237491</v>
      </c>
      <c r="E635" s="166">
        <v>14</v>
      </c>
      <c r="F635" s="483">
        <f t="shared" si="47"/>
        <v>0</v>
      </c>
      <c r="G635" s="484">
        <f t="shared" si="48"/>
        <v>0</v>
      </c>
      <c r="H635" s="485"/>
      <c r="I635" s="486"/>
      <c r="J635" s="485"/>
      <c r="K635" s="486"/>
      <c r="L635" s="485"/>
      <c r="M635" s="485"/>
      <c r="N635" s="485"/>
      <c r="O635" s="486"/>
      <c r="P635" s="486"/>
      <c r="Q635" s="486"/>
      <c r="R635" s="485"/>
      <c r="S635" s="486"/>
      <c r="T635" s="483">
        <f t="shared" si="49"/>
        <v>0</v>
      </c>
      <c r="U635" s="484">
        <f t="shared" si="50"/>
        <v>0</v>
      </c>
      <c r="V635" s="485"/>
      <c r="W635" s="486"/>
      <c r="X635" s="485"/>
      <c r="Y635" s="486"/>
      <c r="Z635" s="485"/>
      <c r="AA635" s="485"/>
      <c r="AB635" s="485"/>
      <c r="AC635" s="486"/>
      <c r="AD635" s="486"/>
      <c r="AE635" s="486"/>
      <c r="AF635" s="485"/>
      <c r="AG635" s="486"/>
    </row>
    <row r="636" spans="1:33">
      <c r="A636" s="167" t="s">
        <v>674</v>
      </c>
      <c r="B636" s="165" t="s">
        <v>713</v>
      </c>
      <c r="C636" s="165"/>
      <c r="D636" s="166">
        <v>364575</v>
      </c>
      <c r="E636" s="166">
        <v>14</v>
      </c>
      <c r="F636" s="483">
        <f t="shared" si="47"/>
        <v>0</v>
      </c>
      <c r="G636" s="484">
        <f t="shared" si="48"/>
        <v>0</v>
      </c>
      <c r="H636" s="485"/>
      <c r="I636" s="486"/>
      <c r="J636" s="485"/>
      <c r="K636" s="486"/>
      <c r="L636" s="485"/>
      <c r="M636" s="485"/>
      <c r="N636" s="485"/>
      <c r="O636" s="486"/>
      <c r="P636" s="486"/>
      <c r="Q636" s="486"/>
      <c r="R636" s="485"/>
      <c r="S636" s="486"/>
      <c r="T636" s="483">
        <f t="shared" si="49"/>
        <v>0</v>
      </c>
      <c r="U636" s="484">
        <f t="shared" si="50"/>
        <v>0</v>
      </c>
      <c r="V636" s="485"/>
      <c r="W636" s="486"/>
      <c r="X636" s="485"/>
      <c r="Y636" s="486"/>
      <c r="Z636" s="485"/>
      <c r="AA636" s="485"/>
      <c r="AB636" s="485"/>
      <c r="AC636" s="486"/>
      <c r="AD636" s="486"/>
      <c r="AE636" s="486"/>
      <c r="AF636" s="485"/>
      <c r="AG636" s="486"/>
    </row>
    <row r="637" spans="1:33">
      <c r="A637" s="167" t="s">
        <v>674</v>
      </c>
      <c r="B637" s="165" t="s">
        <v>714</v>
      </c>
      <c r="C637" s="165"/>
      <c r="D637" s="166">
        <v>441894</v>
      </c>
      <c r="E637" s="166">
        <v>14</v>
      </c>
      <c r="F637" s="483">
        <f t="shared" si="47"/>
        <v>0</v>
      </c>
      <c r="G637" s="484">
        <f t="shared" si="48"/>
        <v>0</v>
      </c>
      <c r="H637" s="485"/>
      <c r="I637" s="486"/>
      <c r="J637" s="485"/>
      <c r="K637" s="486"/>
      <c r="L637" s="485"/>
      <c r="M637" s="485"/>
      <c r="N637" s="485"/>
      <c r="O637" s="486"/>
      <c r="P637" s="486"/>
      <c r="Q637" s="486"/>
      <c r="R637" s="485"/>
      <c r="S637" s="486"/>
      <c r="T637" s="483">
        <f t="shared" si="49"/>
        <v>0</v>
      </c>
      <c r="U637" s="484">
        <f t="shared" si="50"/>
        <v>0</v>
      </c>
      <c r="V637" s="485"/>
      <c r="W637" s="486"/>
      <c r="X637" s="485"/>
      <c r="Y637" s="486"/>
      <c r="Z637" s="485"/>
      <c r="AA637" s="485"/>
      <c r="AB637" s="485"/>
      <c r="AC637" s="486"/>
      <c r="AD637" s="486"/>
      <c r="AE637" s="486"/>
      <c r="AF637" s="485"/>
      <c r="AG637" s="486"/>
    </row>
    <row r="638" spans="1:33">
      <c r="A638" s="167" t="s">
        <v>674</v>
      </c>
      <c r="B638" s="165" t="s">
        <v>715</v>
      </c>
      <c r="C638" s="165"/>
      <c r="D638" s="166">
        <v>419031</v>
      </c>
      <c r="E638" s="166">
        <v>14</v>
      </c>
      <c r="F638" s="483">
        <f t="shared" si="47"/>
        <v>0</v>
      </c>
      <c r="G638" s="484">
        <f t="shared" si="48"/>
        <v>0</v>
      </c>
      <c r="H638" s="485"/>
      <c r="I638" s="486"/>
      <c r="J638" s="485"/>
      <c r="K638" s="486"/>
      <c r="L638" s="485"/>
      <c r="M638" s="485"/>
      <c r="N638" s="485"/>
      <c r="O638" s="486"/>
      <c r="P638" s="486"/>
      <c r="Q638" s="486"/>
      <c r="R638" s="485"/>
      <c r="S638" s="486"/>
      <c r="T638" s="483">
        <f t="shared" si="49"/>
        <v>0</v>
      </c>
      <c r="U638" s="484">
        <f t="shared" si="50"/>
        <v>0</v>
      </c>
      <c r="V638" s="485"/>
      <c r="W638" s="486"/>
      <c r="X638" s="485"/>
      <c r="Y638" s="486"/>
      <c r="Z638" s="485"/>
      <c r="AA638" s="485"/>
      <c r="AB638" s="485"/>
      <c r="AC638" s="486"/>
      <c r="AD638" s="486"/>
      <c r="AE638" s="486"/>
      <c r="AF638" s="485"/>
      <c r="AG638" s="486"/>
    </row>
    <row r="639" spans="1:33">
      <c r="A639" s="167" t="s">
        <v>674</v>
      </c>
      <c r="B639" s="165" t="s">
        <v>716</v>
      </c>
      <c r="C639" s="165"/>
      <c r="D639" s="92" t="s">
        <v>634</v>
      </c>
      <c r="E639" s="166">
        <v>14</v>
      </c>
      <c r="F639" s="483">
        <f t="shared" si="47"/>
        <v>0</v>
      </c>
      <c r="G639" s="484">
        <f t="shared" si="48"/>
        <v>0</v>
      </c>
      <c r="H639" s="485"/>
      <c r="I639" s="486"/>
      <c r="J639" s="485"/>
      <c r="K639" s="486"/>
      <c r="L639" s="485"/>
      <c r="M639" s="485"/>
      <c r="N639" s="485"/>
      <c r="O639" s="486"/>
      <c r="P639" s="486"/>
      <c r="Q639" s="486"/>
      <c r="R639" s="485"/>
      <c r="S639" s="486"/>
      <c r="T639" s="483">
        <f t="shared" si="49"/>
        <v>0</v>
      </c>
      <c r="U639" s="484">
        <f t="shared" si="50"/>
        <v>0</v>
      </c>
      <c r="V639" s="485"/>
      <c r="W639" s="486"/>
      <c r="X639" s="485"/>
      <c r="Y639" s="486"/>
      <c r="Z639" s="485"/>
      <c r="AA639" s="485"/>
      <c r="AB639" s="485"/>
      <c r="AC639" s="486"/>
      <c r="AD639" s="486"/>
      <c r="AE639" s="486"/>
      <c r="AF639" s="485"/>
      <c r="AG639" s="486"/>
    </row>
    <row r="640" spans="1:33">
      <c r="A640" s="167" t="s">
        <v>674</v>
      </c>
      <c r="B640" s="165" t="s">
        <v>717</v>
      </c>
      <c r="C640" s="165"/>
      <c r="D640" s="92" t="s">
        <v>634</v>
      </c>
      <c r="E640" s="166">
        <v>15</v>
      </c>
      <c r="F640" s="483">
        <f t="shared" si="47"/>
        <v>0</v>
      </c>
      <c r="G640" s="484">
        <f t="shared" si="48"/>
        <v>0</v>
      </c>
      <c r="H640" s="485"/>
      <c r="I640" s="486"/>
      <c r="J640" s="485"/>
      <c r="K640" s="486"/>
      <c r="L640" s="485"/>
      <c r="M640" s="485"/>
      <c r="N640" s="485"/>
      <c r="O640" s="486"/>
      <c r="P640" s="486"/>
      <c r="Q640" s="486"/>
      <c r="R640" s="485"/>
      <c r="S640" s="486"/>
      <c r="T640" s="483">
        <f t="shared" si="49"/>
        <v>0</v>
      </c>
      <c r="U640" s="484">
        <f t="shared" si="50"/>
        <v>0</v>
      </c>
      <c r="V640" s="485"/>
      <c r="W640" s="486"/>
      <c r="X640" s="485"/>
      <c r="Y640" s="486"/>
      <c r="Z640" s="485"/>
      <c r="AA640" s="485"/>
      <c r="AB640" s="485"/>
      <c r="AC640" s="486"/>
      <c r="AD640" s="486"/>
      <c r="AE640" s="486"/>
      <c r="AF640" s="485"/>
      <c r="AG640" s="486"/>
    </row>
    <row r="641" spans="1:33">
      <c r="A641" s="167" t="s">
        <v>674</v>
      </c>
      <c r="B641" s="165" t="s">
        <v>718</v>
      </c>
      <c r="C641" s="165"/>
      <c r="D641" s="92">
        <v>486202</v>
      </c>
      <c r="E641" s="166">
        <v>15</v>
      </c>
      <c r="F641" s="483">
        <f t="shared" si="47"/>
        <v>0</v>
      </c>
      <c r="G641" s="484">
        <f t="shared" si="48"/>
        <v>0</v>
      </c>
      <c r="H641" s="485"/>
      <c r="I641" s="486"/>
      <c r="J641" s="485"/>
      <c r="K641" s="486"/>
      <c r="L641" s="485"/>
      <c r="M641" s="485"/>
      <c r="N641" s="485"/>
      <c r="O641" s="486"/>
      <c r="P641" s="486"/>
      <c r="Q641" s="486"/>
      <c r="R641" s="485"/>
      <c r="S641" s="486"/>
      <c r="T641" s="483">
        <f t="shared" si="49"/>
        <v>0</v>
      </c>
      <c r="U641" s="484">
        <f t="shared" si="50"/>
        <v>0</v>
      </c>
      <c r="V641" s="485"/>
      <c r="W641" s="486"/>
      <c r="X641" s="485"/>
      <c r="Y641" s="486"/>
      <c r="Z641" s="485"/>
      <c r="AA641" s="485"/>
      <c r="AB641" s="485"/>
      <c r="AC641" s="486"/>
      <c r="AD641" s="486"/>
      <c r="AE641" s="486"/>
      <c r="AF641" s="485"/>
      <c r="AG641" s="486"/>
    </row>
    <row r="642" spans="1:33">
      <c r="A642" s="164" t="s">
        <v>674</v>
      </c>
      <c r="B642" s="165" t="s">
        <v>719</v>
      </c>
      <c r="C642" s="165"/>
      <c r="D642" s="92">
        <v>486406</v>
      </c>
      <c r="E642" s="166">
        <v>15</v>
      </c>
      <c r="F642" s="483">
        <f t="shared" si="47"/>
        <v>0</v>
      </c>
      <c r="G642" s="484">
        <f t="shared" si="48"/>
        <v>0</v>
      </c>
      <c r="H642" s="485"/>
      <c r="I642" s="486"/>
      <c r="J642" s="485"/>
      <c r="K642" s="486"/>
      <c r="L642" s="485"/>
      <c r="M642" s="485"/>
      <c r="N642" s="485"/>
      <c r="O642" s="486"/>
      <c r="P642" s="486"/>
      <c r="Q642" s="486"/>
      <c r="R642" s="485"/>
      <c r="S642" s="486"/>
      <c r="T642" s="483">
        <f t="shared" si="49"/>
        <v>0</v>
      </c>
      <c r="U642" s="484">
        <f t="shared" si="50"/>
        <v>0</v>
      </c>
      <c r="V642" s="485"/>
      <c r="W642" s="486"/>
      <c r="X642" s="485"/>
      <c r="Y642" s="486"/>
      <c r="Z642" s="485"/>
      <c r="AA642" s="485"/>
      <c r="AB642" s="485"/>
      <c r="AC642" s="486"/>
      <c r="AD642" s="486"/>
      <c r="AE642" s="486"/>
      <c r="AF642" s="485"/>
      <c r="AG642" s="486"/>
    </row>
    <row r="643" spans="1:33">
      <c r="A643" s="167" t="s">
        <v>674</v>
      </c>
      <c r="B643" s="165" t="s">
        <v>720</v>
      </c>
      <c r="C643" s="165"/>
      <c r="D643" s="92" t="s">
        <v>634</v>
      </c>
      <c r="E643" s="166">
        <v>15</v>
      </c>
      <c r="F643" s="483">
        <f t="shared" si="47"/>
        <v>0</v>
      </c>
      <c r="G643" s="484">
        <f t="shared" si="48"/>
        <v>0</v>
      </c>
      <c r="H643" s="485"/>
      <c r="I643" s="486"/>
      <c r="J643" s="485"/>
      <c r="K643" s="486"/>
      <c r="L643" s="485"/>
      <c r="M643" s="485"/>
      <c r="N643" s="485"/>
      <c r="O643" s="486"/>
      <c r="P643" s="486"/>
      <c r="Q643" s="486"/>
      <c r="R643" s="485"/>
      <c r="S643" s="486"/>
      <c r="T643" s="483">
        <f t="shared" si="49"/>
        <v>0</v>
      </c>
      <c r="U643" s="484">
        <f t="shared" si="50"/>
        <v>0</v>
      </c>
      <c r="V643" s="485"/>
      <c r="W643" s="486"/>
      <c r="X643" s="485"/>
      <c r="Y643" s="486"/>
      <c r="Z643" s="485"/>
      <c r="AA643" s="485"/>
      <c r="AB643" s="485"/>
      <c r="AC643" s="486"/>
      <c r="AD643" s="486"/>
      <c r="AE643" s="486"/>
      <c r="AF643" s="485"/>
      <c r="AG643" s="486"/>
    </row>
    <row r="644" spans="1:33">
      <c r="A644" s="164" t="s">
        <v>674</v>
      </c>
      <c r="B644" s="165" t="s">
        <v>721</v>
      </c>
      <c r="C644" s="165"/>
      <c r="D644" s="166">
        <v>238096</v>
      </c>
      <c r="E644" s="166">
        <v>15</v>
      </c>
      <c r="F644" s="483">
        <f t="shared" si="47"/>
        <v>0</v>
      </c>
      <c r="G644" s="484">
        <f t="shared" si="48"/>
        <v>0</v>
      </c>
      <c r="H644" s="485"/>
      <c r="I644" s="486"/>
      <c r="J644" s="485"/>
      <c r="K644" s="486"/>
      <c r="L644" s="485"/>
      <c r="M644" s="485"/>
      <c r="N644" s="485"/>
      <c r="O644" s="486"/>
      <c r="P644" s="486"/>
      <c r="Q644" s="486"/>
      <c r="R644" s="485"/>
      <c r="S644" s="486"/>
      <c r="T644" s="483">
        <f t="shared" si="49"/>
        <v>0</v>
      </c>
      <c r="U644" s="484">
        <f t="shared" si="50"/>
        <v>0</v>
      </c>
      <c r="V644" s="485"/>
      <c r="W644" s="486"/>
      <c r="X644" s="485"/>
      <c r="Y644" s="486"/>
      <c r="Z644" s="485"/>
      <c r="AA644" s="485"/>
      <c r="AB644" s="485"/>
      <c r="AC644" s="486"/>
      <c r="AD644" s="486"/>
      <c r="AE644" s="486"/>
      <c r="AF644" s="485"/>
      <c r="AG644" s="486"/>
    </row>
    <row r="645" spans="1:33">
      <c r="A645" s="60"/>
      <c r="B645" s="60"/>
      <c r="C645" s="60"/>
      <c r="D645" s="60"/>
      <c r="E645" s="60"/>
      <c r="G645" s="60"/>
      <c r="I645" s="60"/>
      <c r="M645" s="60"/>
      <c r="N645" s="60"/>
      <c r="O645" s="60"/>
      <c r="Q645" s="60"/>
      <c r="S645" s="60"/>
      <c r="U645" s="60"/>
      <c r="W645" s="60"/>
      <c r="AA645" s="60"/>
      <c r="AB645" s="60"/>
      <c r="AC645" s="60"/>
      <c r="AE645" s="60"/>
    </row>
    <row r="646" spans="1:33">
      <c r="A646" s="60"/>
      <c r="B646" s="60"/>
      <c r="C646" s="60"/>
      <c r="D646" s="60"/>
      <c r="E646" s="60"/>
      <c r="G646" s="60"/>
      <c r="I646" s="60"/>
      <c r="M646" s="60"/>
      <c r="N646" s="60"/>
      <c r="O646" s="60"/>
      <c r="Q646" s="60"/>
      <c r="S646" s="60"/>
      <c r="U646" s="60"/>
      <c r="W646" s="60"/>
      <c r="AA646" s="60"/>
      <c r="AB646" s="60"/>
      <c r="AC646" s="60"/>
      <c r="AE646" s="60"/>
    </row>
    <row r="647" spans="1:33">
      <c r="A647" s="60"/>
      <c r="B647" s="60"/>
      <c r="C647" s="60"/>
      <c r="D647" s="60"/>
      <c r="E647" s="60"/>
      <c r="G647" s="60"/>
      <c r="I647" s="60"/>
      <c r="M647" s="60"/>
      <c r="N647" s="60"/>
      <c r="O647" s="60"/>
      <c r="Q647" s="60"/>
      <c r="S647" s="60"/>
      <c r="U647" s="60"/>
      <c r="W647" s="60"/>
      <c r="AA647" s="60"/>
      <c r="AB647" s="60"/>
      <c r="AC647" s="60"/>
      <c r="AE647" s="60"/>
    </row>
    <row r="648" spans="1:33">
      <c r="A648" s="60"/>
      <c r="B648" s="60"/>
      <c r="C648" s="60"/>
      <c r="D648" s="60"/>
      <c r="E648" s="60"/>
      <c r="G648" s="60"/>
      <c r="I648" s="60"/>
      <c r="M648" s="60"/>
      <c r="N648" s="60"/>
      <c r="O648" s="60"/>
      <c r="Q648" s="60"/>
      <c r="S648" s="60"/>
      <c r="U648" s="60"/>
      <c r="W648" s="60"/>
      <c r="AA648" s="60"/>
      <c r="AB648" s="60"/>
      <c r="AC648" s="60"/>
      <c r="AE648" s="60"/>
    </row>
    <row r="649" spans="1:33">
      <c r="A649" s="60"/>
      <c r="B649" s="60"/>
      <c r="C649" s="60"/>
      <c r="D649" s="60"/>
      <c r="E649" s="60"/>
      <c r="G649" s="60"/>
      <c r="I649" s="60"/>
      <c r="M649" s="60"/>
      <c r="N649" s="60"/>
      <c r="O649" s="60"/>
      <c r="Q649" s="60"/>
      <c r="S649" s="60"/>
      <c r="U649" s="60"/>
      <c r="W649" s="60"/>
      <c r="AA649" s="60"/>
      <c r="AB649" s="60"/>
      <c r="AC649" s="60"/>
      <c r="AE649" s="60"/>
    </row>
    <row r="650" spans="1:33">
      <c r="A650" s="60"/>
      <c r="B650" s="60"/>
      <c r="C650" s="60"/>
      <c r="D650" s="60"/>
      <c r="E650" s="60"/>
      <c r="G650" s="60"/>
      <c r="I650" s="60"/>
      <c r="M650" s="60"/>
      <c r="N650" s="60"/>
      <c r="O650" s="60"/>
      <c r="Q650" s="60"/>
      <c r="S650" s="60"/>
      <c r="U650" s="60"/>
      <c r="W650" s="60"/>
      <c r="AA650" s="60"/>
      <c r="AB650" s="60"/>
      <c r="AC650" s="60"/>
      <c r="AE650" s="60"/>
    </row>
    <row r="651" spans="1:33">
      <c r="A651" s="60"/>
      <c r="B651" s="60"/>
      <c r="C651" s="60"/>
      <c r="D651" s="60"/>
      <c r="E651" s="60"/>
      <c r="G651" s="60"/>
      <c r="I651" s="60"/>
      <c r="M651" s="60"/>
      <c r="N651" s="60"/>
      <c r="O651" s="60"/>
      <c r="Q651" s="60"/>
      <c r="S651" s="60"/>
      <c r="U651" s="60"/>
      <c r="W651" s="60"/>
      <c r="AA651" s="60"/>
      <c r="AB651" s="60"/>
      <c r="AC651" s="60"/>
      <c r="AE651" s="60"/>
    </row>
    <row r="652" spans="1:33">
      <c r="A652" s="60"/>
      <c r="B652" s="60"/>
      <c r="C652" s="60"/>
      <c r="D652" s="60"/>
      <c r="E652" s="60"/>
      <c r="G652" s="60"/>
      <c r="I652" s="60"/>
      <c r="M652" s="60"/>
      <c r="N652" s="60"/>
      <c r="O652" s="60"/>
      <c r="Q652" s="60"/>
      <c r="S652" s="60"/>
      <c r="U652" s="60"/>
      <c r="W652" s="60"/>
      <c r="AA652" s="60"/>
      <c r="AB652" s="60"/>
      <c r="AC652" s="60"/>
      <c r="AE652" s="60"/>
    </row>
    <row r="653" spans="1:33">
      <c r="A653" s="60"/>
      <c r="B653" s="60"/>
      <c r="C653" s="60"/>
      <c r="D653" s="60"/>
      <c r="E653" s="60"/>
      <c r="G653" s="60"/>
      <c r="I653" s="60"/>
      <c r="M653" s="60"/>
      <c r="N653" s="60"/>
      <c r="O653" s="60"/>
      <c r="Q653" s="60"/>
      <c r="S653" s="60"/>
      <c r="U653" s="60"/>
      <c r="W653" s="60"/>
      <c r="AA653" s="60"/>
      <c r="AB653" s="60"/>
      <c r="AC653" s="60"/>
      <c r="AE653" s="60"/>
    </row>
    <row r="654" spans="1:33">
      <c r="A654" s="60"/>
      <c r="B654" s="60"/>
      <c r="C654" s="60"/>
      <c r="D654" s="60"/>
      <c r="E654" s="60"/>
      <c r="G654" s="60"/>
      <c r="I654" s="60"/>
      <c r="M654" s="60"/>
      <c r="N654" s="60"/>
      <c r="O654" s="60"/>
      <c r="Q654" s="60"/>
      <c r="S654" s="60"/>
      <c r="U654" s="60"/>
      <c r="W654" s="60"/>
      <c r="AA654" s="60"/>
      <c r="AB654" s="60"/>
      <c r="AC654" s="60"/>
      <c r="AE654" s="60"/>
    </row>
    <row r="655" spans="1:33">
      <c r="A655" s="60"/>
      <c r="B655" s="60"/>
      <c r="C655" s="60"/>
      <c r="D655" s="60"/>
      <c r="E655" s="60"/>
      <c r="G655" s="60"/>
      <c r="I655" s="60"/>
      <c r="M655" s="60"/>
      <c r="N655" s="60"/>
      <c r="O655" s="60"/>
      <c r="Q655" s="60"/>
      <c r="S655" s="60"/>
      <c r="U655" s="60"/>
      <c r="W655" s="60"/>
      <c r="AA655" s="60"/>
      <c r="AB655" s="60"/>
      <c r="AC655" s="60"/>
      <c r="AE655" s="60"/>
    </row>
    <row r="656" spans="1:33">
      <c r="A656" s="60"/>
      <c r="B656" s="60"/>
      <c r="C656" s="60"/>
      <c r="D656" s="60"/>
      <c r="E656" s="60"/>
      <c r="G656" s="60"/>
      <c r="I656" s="60"/>
      <c r="M656" s="60"/>
      <c r="N656" s="60"/>
      <c r="O656" s="60"/>
      <c r="Q656" s="60"/>
      <c r="S656" s="60"/>
      <c r="U656" s="60"/>
      <c r="W656" s="60"/>
      <c r="AA656" s="60"/>
      <c r="AB656" s="60"/>
      <c r="AC656" s="60"/>
      <c r="AE656" s="60"/>
    </row>
    <row r="657" spans="1:31">
      <c r="A657" s="60"/>
      <c r="B657" s="60"/>
      <c r="C657" s="60"/>
      <c r="D657" s="60"/>
      <c r="E657" s="60"/>
      <c r="G657" s="60"/>
      <c r="I657" s="60"/>
      <c r="M657" s="60"/>
      <c r="N657" s="60"/>
      <c r="O657" s="60"/>
      <c r="Q657" s="60"/>
      <c r="S657" s="60"/>
      <c r="U657" s="60"/>
      <c r="W657" s="60"/>
      <c r="AA657" s="60"/>
      <c r="AB657" s="60"/>
      <c r="AC657" s="60"/>
      <c r="AE657" s="60"/>
    </row>
    <row r="658" spans="1:31">
      <c r="A658" s="60"/>
      <c r="B658" s="60"/>
      <c r="C658" s="60"/>
      <c r="D658" s="60"/>
      <c r="E658" s="60"/>
      <c r="G658" s="60"/>
      <c r="I658" s="60"/>
      <c r="M658" s="60"/>
      <c r="N658" s="60"/>
      <c r="O658" s="60"/>
      <c r="Q658" s="60"/>
      <c r="S658" s="60"/>
      <c r="U658" s="60"/>
      <c r="W658" s="60"/>
      <c r="AA658" s="60"/>
      <c r="AB658" s="60"/>
      <c r="AC658" s="60"/>
      <c r="AE658" s="60"/>
    </row>
    <row r="659" spans="1:31">
      <c r="A659" s="60"/>
      <c r="B659" s="60"/>
      <c r="C659" s="60"/>
      <c r="D659" s="60"/>
      <c r="E659" s="60"/>
      <c r="G659" s="60"/>
      <c r="I659" s="60"/>
      <c r="M659" s="60"/>
      <c r="N659" s="60"/>
      <c r="O659" s="60"/>
      <c r="Q659" s="60"/>
      <c r="S659" s="60"/>
      <c r="U659" s="60"/>
      <c r="W659" s="60"/>
      <c r="AA659" s="60"/>
      <c r="AB659" s="60"/>
      <c r="AC659" s="60"/>
      <c r="AE659" s="60"/>
    </row>
    <row r="660" spans="1:31">
      <c r="A660" s="60"/>
      <c r="B660" s="60"/>
      <c r="C660" s="60"/>
      <c r="D660" s="60"/>
      <c r="E660" s="60"/>
      <c r="G660" s="60"/>
      <c r="I660" s="60"/>
      <c r="M660" s="60"/>
      <c r="N660" s="60"/>
      <c r="O660" s="60"/>
      <c r="Q660" s="60"/>
      <c r="S660" s="60"/>
      <c r="U660" s="60"/>
      <c r="W660" s="60"/>
      <c r="AA660" s="60"/>
      <c r="AB660" s="60"/>
      <c r="AC660" s="60"/>
      <c r="AE660" s="60"/>
    </row>
    <row r="661" spans="1:31">
      <c r="A661" s="60"/>
      <c r="B661" s="60"/>
      <c r="C661" s="60"/>
      <c r="D661" s="60"/>
      <c r="E661" s="60"/>
      <c r="G661" s="60"/>
      <c r="I661" s="60"/>
      <c r="M661" s="60"/>
      <c r="N661" s="60"/>
      <c r="O661" s="60"/>
      <c r="Q661" s="60"/>
      <c r="S661" s="60"/>
      <c r="U661" s="60"/>
      <c r="W661" s="60"/>
      <c r="AA661" s="60"/>
      <c r="AB661" s="60"/>
      <c r="AC661" s="60"/>
      <c r="AE661" s="60"/>
    </row>
    <row r="662" spans="1:31">
      <c r="A662" s="60"/>
      <c r="B662" s="60"/>
      <c r="C662" s="60"/>
      <c r="D662" s="60"/>
      <c r="E662" s="60"/>
      <c r="G662" s="60"/>
      <c r="I662" s="60"/>
      <c r="M662" s="60"/>
      <c r="N662" s="60"/>
      <c r="O662" s="60"/>
      <c r="Q662" s="60"/>
      <c r="S662" s="60"/>
      <c r="U662" s="60"/>
      <c r="W662" s="60"/>
      <c r="AA662" s="60"/>
      <c r="AB662" s="60"/>
      <c r="AC662" s="60"/>
      <c r="AE662" s="60"/>
    </row>
    <row r="663" spans="1:31">
      <c r="A663" s="60"/>
      <c r="B663" s="60"/>
      <c r="C663" s="60"/>
      <c r="D663" s="60"/>
      <c r="E663" s="60"/>
      <c r="G663" s="60"/>
      <c r="I663" s="60"/>
      <c r="M663" s="60"/>
      <c r="N663" s="60"/>
      <c r="O663" s="60"/>
      <c r="Q663" s="60"/>
      <c r="S663" s="60"/>
      <c r="U663" s="60"/>
      <c r="W663" s="60"/>
      <c r="AA663" s="60"/>
      <c r="AB663" s="60"/>
      <c r="AC663" s="60"/>
      <c r="AE663" s="60"/>
    </row>
    <row r="664" spans="1:31">
      <c r="A664" s="60"/>
      <c r="B664" s="60"/>
      <c r="C664" s="60"/>
      <c r="D664" s="60"/>
      <c r="E664" s="60"/>
      <c r="G664" s="60"/>
      <c r="I664" s="60"/>
      <c r="M664" s="60"/>
      <c r="N664" s="60"/>
      <c r="O664" s="60"/>
      <c r="Q664" s="60"/>
      <c r="S664" s="60"/>
      <c r="U664" s="60"/>
      <c r="W664" s="60"/>
      <c r="AA664" s="60"/>
      <c r="AB664" s="60"/>
      <c r="AC664" s="60"/>
      <c r="AE664" s="60"/>
    </row>
    <row r="665" spans="1:31">
      <c r="A665" s="60"/>
      <c r="B665" s="60"/>
      <c r="C665" s="60"/>
      <c r="D665" s="60"/>
      <c r="E665" s="60"/>
      <c r="G665" s="60"/>
      <c r="I665" s="60"/>
      <c r="M665" s="60"/>
      <c r="N665" s="60"/>
      <c r="O665" s="60"/>
      <c r="Q665" s="60"/>
      <c r="S665" s="60"/>
      <c r="U665" s="60"/>
      <c r="W665" s="60"/>
      <c r="AA665" s="60"/>
      <c r="AB665" s="60"/>
      <c r="AC665" s="60"/>
      <c r="AE665" s="60"/>
    </row>
    <row r="666" spans="1:31">
      <c r="A666" s="60"/>
      <c r="B666" s="60"/>
      <c r="C666" s="60"/>
      <c r="D666" s="60"/>
      <c r="E666" s="60"/>
      <c r="G666" s="60"/>
      <c r="I666" s="60"/>
      <c r="M666" s="60"/>
      <c r="N666" s="60"/>
      <c r="O666" s="60"/>
      <c r="Q666" s="60"/>
      <c r="S666" s="60"/>
      <c r="U666" s="60"/>
      <c r="W666" s="60"/>
      <c r="AA666" s="60"/>
      <c r="AB666" s="60"/>
      <c r="AC666" s="60"/>
      <c r="AE666" s="60"/>
    </row>
    <row r="667" spans="1:31">
      <c r="A667" s="60"/>
      <c r="B667" s="60"/>
      <c r="C667" s="60"/>
      <c r="D667" s="60"/>
      <c r="E667" s="60"/>
      <c r="G667" s="60"/>
      <c r="I667" s="60"/>
      <c r="M667" s="60"/>
      <c r="N667" s="60"/>
      <c r="O667" s="60"/>
      <c r="Q667" s="60"/>
      <c r="S667" s="60"/>
      <c r="U667" s="60"/>
      <c r="W667" s="60"/>
      <c r="AA667" s="60"/>
      <c r="AB667" s="60"/>
      <c r="AC667" s="60"/>
      <c r="AE667" s="60"/>
    </row>
    <row r="668" spans="1:31">
      <c r="A668" s="60"/>
      <c r="B668" s="60"/>
      <c r="C668" s="60"/>
      <c r="D668" s="60"/>
      <c r="E668" s="60"/>
      <c r="G668" s="60"/>
      <c r="I668" s="60"/>
      <c r="M668" s="60"/>
      <c r="N668" s="60"/>
      <c r="O668" s="60"/>
      <c r="Q668" s="60"/>
      <c r="S668" s="60"/>
      <c r="U668" s="60"/>
      <c r="W668" s="60"/>
      <c r="AA668" s="60"/>
      <c r="AB668" s="60"/>
      <c r="AC668" s="60"/>
      <c r="AE668" s="60"/>
    </row>
    <row r="669" spans="1:31">
      <c r="A669" s="60"/>
      <c r="B669" s="60"/>
      <c r="C669" s="60"/>
      <c r="D669" s="60"/>
      <c r="E669" s="60"/>
      <c r="G669" s="60"/>
      <c r="I669" s="60"/>
      <c r="M669" s="60"/>
      <c r="N669" s="60"/>
      <c r="O669" s="60"/>
      <c r="Q669" s="60"/>
      <c r="S669" s="60"/>
      <c r="U669" s="60"/>
      <c r="W669" s="60"/>
      <c r="AA669" s="60"/>
      <c r="AB669" s="60"/>
      <c r="AC669" s="60"/>
      <c r="AE669" s="60"/>
    </row>
  </sheetData>
  <sheetProtection insertRows="0" deleteRows="0"/>
  <sortState xmlns:xlrd2="http://schemas.microsoft.com/office/spreadsheetml/2017/richdata2" ref="A7:AG9">
    <sortCondition ref="A7:A9"/>
    <sortCondition ref="E7:E9"/>
    <sortCondition ref="B7:B9"/>
  </sortState>
  <mergeCells count="1">
    <mergeCell ref="H4:I4"/>
  </mergeCells>
  <pageMargins left="0.7" right="0.7" top="0.75" bottom="0.75" header="0.3" footer="0.3"/>
  <pageSetup orientation="portrait"/>
  <legacyDrawing r:id="rId1"/>
  <extLst>
    <x:ext xmlns:x="http://schemas.openxmlformats.org/spreadsheetml/2006/main" xmlns:mx="http://schemas.microsoft.com/office/mac/excel/2008/main" uri="{64002731-A6B0-56B0-2670-7721B7C09600}">
      <mx:PLV Mode="0" OnePage="0" WScale="0"/>
    </x: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AD59-774D-4951-A781-DE16019A6B9D}">
  <sheetPr>
    <tabColor rgb="FFFFFF00"/>
  </sheetPr>
  <dimension ref="A3:W617"/>
  <sheetViews>
    <sheetView workbookViewId="0">
      <selection sqref="A1:XFD1048576"/>
    </sheetView>
  </sheetViews>
  <sheetFormatPr defaultRowHeight="15"/>
  <cols>
    <col min="1" max="1" width="4.6640625" style="174" customWidth="1"/>
    <col min="2" max="2" width="16.88671875" style="174" customWidth="1"/>
    <col min="3" max="9" width="10" style="174" customWidth="1"/>
    <col min="10" max="10" width="12.44140625" style="174" customWidth="1"/>
    <col min="11" max="14" width="8.6640625" style="174" customWidth="1"/>
    <col min="15" max="15" width="11.109375" style="174" customWidth="1"/>
    <col min="16" max="17" width="8.77734375" style="174" customWidth="1"/>
    <col min="18" max="18" width="11.33203125" style="174" customWidth="1"/>
    <col min="19" max="21" width="8.88671875" style="174" customWidth="1"/>
    <col min="22" max="22" width="7.109375" style="174" customWidth="1"/>
    <col min="23" max="16384" width="8.88671875" style="174"/>
  </cols>
  <sheetData>
    <row r="3" spans="1:22">
      <c r="A3" s="168"/>
      <c r="B3" s="169"/>
      <c r="C3" s="168"/>
      <c r="D3" s="170"/>
      <c r="E3" s="170"/>
      <c r="F3" s="171"/>
      <c r="G3" s="171"/>
      <c r="H3" s="171"/>
      <c r="I3" s="171"/>
      <c r="J3" s="171"/>
      <c r="K3" s="171"/>
      <c r="L3" s="171"/>
      <c r="M3" s="171"/>
      <c r="N3" s="171"/>
      <c r="O3" s="171"/>
      <c r="P3" s="171"/>
      <c r="Q3" s="171"/>
      <c r="R3" s="171"/>
      <c r="S3" s="172"/>
      <c r="T3" s="172"/>
      <c r="U3" s="171"/>
      <c r="V3" s="173"/>
    </row>
    <row r="4" spans="1:22">
      <c r="A4" s="175"/>
      <c r="B4" s="176"/>
      <c r="C4" s="175"/>
      <c r="D4" s="177"/>
      <c r="E4" s="176"/>
      <c r="F4" s="176"/>
      <c r="G4" s="176"/>
      <c r="H4" s="176"/>
      <c r="I4" s="176"/>
      <c r="J4" s="168"/>
      <c r="K4" s="178"/>
      <c r="L4" s="177"/>
      <c r="M4" s="176"/>
      <c r="N4" s="176"/>
      <c r="O4" s="168"/>
      <c r="P4" s="168"/>
      <c r="Q4" s="169"/>
      <c r="R4" s="168"/>
      <c r="S4" s="179"/>
      <c r="T4" s="179"/>
      <c r="U4" s="180"/>
      <c r="V4" s="173"/>
    </row>
    <row r="5" spans="1:22">
      <c r="A5" s="168"/>
      <c r="B5" s="168"/>
      <c r="C5" s="168"/>
      <c r="D5" s="181"/>
      <c r="E5" s="181"/>
      <c r="F5" s="181"/>
      <c r="G5" s="181"/>
      <c r="H5" s="181"/>
      <c r="I5" s="181"/>
      <c r="J5" s="182"/>
      <c r="K5" s="183"/>
      <c r="L5" s="181"/>
      <c r="M5" s="181"/>
      <c r="N5" s="181"/>
      <c r="O5" s="182"/>
      <c r="P5" s="184"/>
      <c r="R5" s="182"/>
      <c r="S5" s="185"/>
      <c r="T5" s="185"/>
      <c r="U5" s="186"/>
      <c r="V5" s="173"/>
    </row>
    <row r="6" spans="1:22">
      <c r="A6" s="187"/>
      <c r="B6" s="168"/>
      <c r="C6" s="188"/>
      <c r="D6" s="189"/>
      <c r="E6" s="189"/>
      <c r="F6" s="189"/>
      <c r="G6" s="189"/>
      <c r="H6" s="189"/>
      <c r="I6" s="189"/>
      <c r="J6" s="190"/>
      <c r="K6" s="190"/>
      <c r="L6" s="189"/>
      <c r="M6" s="189"/>
      <c r="N6" s="189"/>
      <c r="O6" s="190"/>
      <c r="P6" s="190"/>
      <c r="Q6" s="189"/>
      <c r="R6" s="190"/>
      <c r="S6" s="190"/>
      <c r="T6" s="190"/>
      <c r="U6" s="190"/>
      <c r="V6" s="173"/>
    </row>
    <row r="7" spans="1:22">
      <c r="A7" s="191"/>
      <c r="B7" s="192"/>
      <c r="C7" s="193"/>
      <c r="D7" s="194"/>
      <c r="E7" s="194"/>
      <c r="F7" s="194"/>
      <c r="G7" s="194"/>
      <c r="H7" s="194"/>
      <c r="I7" s="194"/>
      <c r="J7" s="195"/>
      <c r="K7" s="195"/>
      <c r="L7" s="194"/>
      <c r="M7" s="194"/>
      <c r="N7" s="194"/>
      <c r="O7" s="195"/>
      <c r="P7" s="195"/>
      <c r="Q7" s="194"/>
      <c r="R7" s="195"/>
      <c r="S7" s="195"/>
      <c r="T7" s="195"/>
      <c r="U7" s="195"/>
      <c r="V7" s="196"/>
    </row>
    <row r="8" spans="1:22">
      <c r="A8" s="191"/>
      <c r="B8" s="197"/>
      <c r="C8" s="198"/>
      <c r="D8" s="199"/>
      <c r="E8" s="199"/>
      <c r="F8" s="199"/>
      <c r="G8" s="199"/>
      <c r="H8" s="199"/>
      <c r="I8" s="199"/>
      <c r="J8" s="200"/>
      <c r="K8" s="200"/>
      <c r="L8" s="199"/>
      <c r="M8" s="199"/>
      <c r="N8" s="199"/>
      <c r="O8" s="200"/>
      <c r="P8" s="200"/>
      <c r="Q8" s="201"/>
      <c r="R8" s="200"/>
      <c r="S8" s="200"/>
      <c r="T8" s="200"/>
      <c r="U8" s="200"/>
      <c r="V8" s="196"/>
    </row>
    <row r="9" spans="1:22">
      <c r="A9" s="191"/>
      <c r="B9" s="168"/>
      <c r="C9" s="188"/>
      <c r="D9" s="189"/>
      <c r="E9" s="189"/>
      <c r="F9" s="189"/>
      <c r="G9" s="189"/>
      <c r="H9" s="189"/>
      <c r="I9" s="189"/>
      <c r="J9" s="190"/>
      <c r="K9" s="190"/>
      <c r="L9" s="189"/>
      <c r="M9" s="189"/>
      <c r="N9" s="189"/>
      <c r="O9" s="190"/>
      <c r="P9" s="190"/>
      <c r="Q9" s="189"/>
      <c r="R9" s="190"/>
      <c r="S9" s="190"/>
      <c r="T9" s="190"/>
      <c r="U9" s="190"/>
      <c r="V9" s="196"/>
    </row>
    <row r="10" spans="1:22">
      <c r="A10" s="191"/>
      <c r="B10" s="192"/>
      <c r="C10" s="193"/>
      <c r="D10" s="194"/>
      <c r="E10" s="194"/>
      <c r="F10" s="194"/>
      <c r="G10" s="194"/>
      <c r="H10" s="194"/>
      <c r="I10" s="194"/>
      <c r="J10" s="195"/>
      <c r="K10" s="195"/>
      <c r="L10" s="194"/>
      <c r="M10" s="194"/>
      <c r="N10" s="194"/>
      <c r="O10" s="195"/>
      <c r="P10" s="195"/>
      <c r="Q10" s="194"/>
      <c r="R10" s="195"/>
      <c r="S10" s="195"/>
      <c r="T10" s="195"/>
      <c r="U10" s="195"/>
      <c r="V10" s="196"/>
    </row>
    <row r="11" spans="1:22">
      <c r="A11" s="191"/>
      <c r="B11" s="197"/>
      <c r="C11" s="198"/>
      <c r="D11" s="199"/>
      <c r="E11" s="199"/>
      <c r="F11" s="199"/>
      <c r="G11" s="199"/>
      <c r="H11" s="199"/>
      <c r="I11" s="199"/>
      <c r="J11" s="202"/>
      <c r="K11" s="202"/>
      <c r="L11" s="199"/>
      <c r="M11" s="199"/>
      <c r="N11" s="199"/>
      <c r="O11" s="202"/>
      <c r="P11" s="202"/>
      <c r="Q11" s="199"/>
      <c r="R11" s="202"/>
      <c r="S11" s="202"/>
      <c r="T11" s="202"/>
      <c r="U11" s="202"/>
      <c r="V11" s="196"/>
    </row>
    <row r="12" spans="1:22">
      <c r="A12" s="191"/>
      <c r="B12" s="168"/>
      <c r="C12" s="188"/>
      <c r="D12" s="189"/>
      <c r="E12" s="189"/>
      <c r="F12" s="189"/>
      <c r="G12" s="189"/>
      <c r="H12" s="189"/>
      <c r="I12" s="189"/>
      <c r="J12" s="190"/>
      <c r="K12" s="190"/>
      <c r="L12" s="189"/>
      <c r="M12" s="189"/>
      <c r="N12" s="189"/>
      <c r="O12" s="190"/>
      <c r="P12" s="190"/>
      <c r="Q12" s="189"/>
      <c r="R12" s="190"/>
      <c r="S12" s="190"/>
      <c r="T12" s="190"/>
      <c r="U12" s="190"/>
      <c r="V12" s="196"/>
    </row>
    <row r="13" spans="1:22">
      <c r="A13" s="191"/>
      <c r="B13" s="192"/>
      <c r="C13" s="193"/>
      <c r="D13" s="194"/>
      <c r="E13" s="194"/>
      <c r="F13" s="194"/>
      <c r="G13" s="194"/>
      <c r="H13" s="194"/>
      <c r="I13" s="194"/>
      <c r="J13" s="195"/>
      <c r="K13" s="195"/>
      <c r="L13" s="194"/>
      <c r="M13" s="194"/>
      <c r="N13" s="194"/>
      <c r="O13" s="195"/>
      <c r="P13" s="195"/>
      <c r="Q13" s="203"/>
      <c r="R13" s="195"/>
      <c r="S13" s="195"/>
      <c r="T13" s="195"/>
      <c r="U13" s="195"/>
      <c r="V13" s="196"/>
    </row>
    <row r="14" spans="1:22" s="204" customFormat="1">
      <c r="A14" s="191"/>
      <c r="B14" s="197"/>
      <c r="C14" s="198"/>
      <c r="D14" s="199"/>
      <c r="E14" s="199"/>
      <c r="F14" s="199"/>
      <c r="G14" s="199"/>
      <c r="H14" s="199"/>
      <c r="I14" s="199"/>
      <c r="J14" s="202"/>
      <c r="K14" s="202"/>
      <c r="L14" s="199"/>
      <c r="M14" s="199"/>
      <c r="N14" s="199"/>
      <c r="O14" s="202"/>
      <c r="P14" s="202"/>
      <c r="Q14" s="201"/>
      <c r="R14" s="202"/>
      <c r="S14" s="202"/>
      <c r="T14" s="202"/>
      <c r="U14" s="202"/>
      <c r="V14" s="196"/>
    </row>
    <row r="15" spans="1:22">
      <c r="A15" s="191"/>
      <c r="B15" s="168"/>
      <c r="C15" s="188"/>
      <c r="D15" s="189"/>
      <c r="E15" s="189"/>
      <c r="F15" s="189"/>
      <c r="G15" s="189"/>
      <c r="H15" s="189"/>
      <c r="I15" s="189"/>
      <c r="J15" s="190"/>
      <c r="K15" s="190"/>
      <c r="L15" s="189"/>
      <c r="M15" s="189"/>
      <c r="N15" s="189"/>
      <c r="O15" s="190"/>
      <c r="P15" s="190"/>
      <c r="Q15" s="189"/>
      <c r="R15" s="190"/>
      <c r="S15" s="190"/>
      <c r="T15" s="190"/>
      <c r="U15" s="190"/>
      <c r="V15" s="196"/>
    </row>
    <row r="16" spans="1:22">
      <c r="A16" s="191"/>
      <c r="B16" s="192"/>
      <c r="C16" s="205"/>
      <c r="D16" s="194"/>
      <c r="E16" s="194"/>
      <c r="F16" s="194"/>
      <c r="G16" s="194"/>
      <c r="H16" s="194"/>
      <c r="I16" s="194"/>
      <c r="J16" s="195"/>
      <c r="K16" s="195"/>
      <c r="L16" s="194"/>
      <c r="M16" s="194"/>
      <c r="N16" s="194"/>
      <c r="O16" s="195"/>
      <c r="P16" s="195"/>
      <c r="Q16" s="194"/>
      <c r="R16" s="195"/>
      <c r="S16" s="195"/>
      <c r="T16" s="195"/>
      <c r="U16" s="195"/>
      <c r="V16" s="196"/>
    </row>
    <row r="17" spans="1:22">
      <c r="A17" s="191"/>
      <c r="B17" s="197"/>
      <c r="C17" s="198"/>
      <c r="D17" s="199"/>
      <c r="E17" s="199"/>
      <c r="F17" s="199"/>
      <c r="G17" s="199"/>
      <c r="H17" s="199"/>
      <c r="I17" s="199"/>
      <c r="J17" s="202"/>
      <c r="K17" s="202"/>
      <c r="L17" s="199"/>
      <c r="M17" s="199"/>
      <c r="N17" s="199"/>
      <c r="O17" s="202"/>
      <c r="P17" s="202"/>
      <c r="Q17" s="199"/>
      <c r="R17" s="202"/>
      <c r="S17" s="202"/>
      <c r="T17" s="202"/>
      <c r="U17" s="202"/>
      <c r="V17" s="196"/>
    </row>
    <row r="18" spans="1:22">
      <c r="A18" s="191"/>
      <c r="B18" s="168"/>
      <c r="C18" s="188"/>
      <c r="D18" s="189"/>
      <c r="E18" s="189"/>
      <c r="F18" s="189"/>
      <c r="G18" s="189"/>
      <c r="H18" s="189"/>
      <c r="I18" s="189"/>
      <c r="J18" s="190"/>
      <c r="K18" s="190"/>
      <c r="L18" s="189"/>
      <c r="M18" s="189"/>
      <c r="N18" s="189"/>
      <c r="O18" s="190"/>
      <c r="P18" s="190"/>
      <c r="Q18" s="189"/>
      <c r="R18" s="190"/>
      <c r="S18" s="190"/>
      <c r="T18" s="190"/>
      <c r="U18" s="190"/>
      <c r="V18" s="196"/>
    </row>
    <row r="19" spans="1:22">
      <c r="A19" s="191"/>
      <c r="B19" s="192"/>
      <c r="C19" s="193"/>
      <c r="D19" s="194"/>
      <c r="E19" s="194"/>
      <c r="F19" s="194"/>
      <c r="G19" s="194"/>
      <c r="H19" s="194"/>
      <c r="I19" s="194"/>
      <c r="J19" s="195"/>
      <c r="K19" s="195"/>
      <c r="L19" s="194"/>
      <c r="M19" s="194"/>
      <c r="N19" s="203"/>
      <c r="O19" s="195"/>
      <c r="P19" s="195"/>
      <c r="Q19" s="194"/>
      <c r="R19" s="195"/>
      <c r="S19" s="195"/>
      <c r="T19" s="195"/>
      <c r="U19" s="195"/>
      <c r="V19" s="196"/>
    </row>
    <row r="20" spans="1:22">
      <c r="A20" s="191"/>
      <c r="B20" s="197"/>
      <c r="C20" s="198"/>
      <c r="D20" s="199"/>
      <c r="E20" s="199"/>
      <c r="F20" s="199"/>
      <c r="G20" s="199"/>
      <c r="H20" s="199"/>
      <c r="I20" s="199"/>
      <c r="J20" s="202"/>
      <c r="K20" s="202"/>
      <c r="L20" s="199"/>
      <c r="M20" s="199"/>
      <c r="N20" s="199"/>
      <c r="O20" s="202"/>
      <c r="P20" s="202"/>
      <c r="Q20" s="199"/>
      <c r="R20" s="202"/>
      <c r="S20" s="202"/>
      <c r="T20" s="202"/>
      <c r="U20" s="202"/>
      <c r="V20" s="196"/>
    </row>
    <row r="21" spans="1:22">
      <c r="A21" s="191"/>
      <c r="B21" s="168"/>
      <c r="C21" s="188"/>
      <c r="D21" s="189"/>
      <c r="E21" s="189"/>
      <c r="F21" s="189"/>
      <c r="G21" s="189"/>
      <c r="H21" s="189"/>
      <c r="I21" s="189"/>
      <c r="J21" s="190"/>
      <c r="K21" s="190"/>
      <c r="L21" s="189"/>
      <c r="M21" s="189"/>
      <c r="N21" s="189"/>
      <c r="O21" s="190"/>
      <c r="P21" s="190"/>
      <c r="Q21" s="189"/>
      <c r="R21" s="190"/>
      <c r="S21" s="190"/>
      <c r="T21" s="190"/>
      <c r="U21" s="190"/>
      <c r="V21" s="196"/>
    </row>
    <row r="22" spans="1:22">
      <c r="A22" s="191"/>
      <c r="B22" s="192"/>
      <c r="C22" s="193"/>
      <c r="D22" s="194"/>
      <c r="E22" s="194"/>
      <c r="F22" s="194"/>
      <c r="G22" s="194"/>
      <c r="H22" s="194"/>
      <c r="I22" s="194"/>
      <c r="J22" s="195"/>
      <c r="K22" s="195"/>
      <c r="L22" s="194"/>
      <c r="M22" s="194"/>
      <c r="N22" s="194"/>
      <c r="O22" s="195"/>
      <c r="P22" s="195"/>
      <c r="Q22" s="194"/>
      <c r="R22" s="195"/>
      <c r="S22" s="195"/>
      <c r="T22" s="195"/>
      <c r="U22" s="195"/>
      <c r="V22" s="196"/>
    </row>
    <row r="23" spans="1:22" ht="15.75" thickBot="1">
      <c r="A23" s="191"/>
      <c r="B23" s="206"/>
      <c r="C23" s="207"/>
      <c r="D23" s="208"/>
      <c r="E23" s="208"/>
      <c r="F23" s="208"/>
      <c r="G23" s="208"/>
      <c r="H23" s="208"/>
      <c r="I23" s="208"/>
      <c r="J23" s="209"/>
      <c r="K23" s="209"/>
      <c r="L23" s="208"/>
      <c r="M23" s="208"/>
      <c r="N23" s="208"/>
      <c r="O23" s="209"/>
      <c r="P23" s="209"/>
      <c r="Q23" s="208"/>
      <c r="R23" s="209"/>
      <c r="S23" s="209"/>
      <c r="T23" s="209"/>
      <c r="U23" s="209"/>
      <c r="V23" s="196"/>
    </row>
    <row r="24" spans="1:22" ht="15.75" thickTop="1">
      <c r="A24" s="191"/>
      <c r="B24" s="192"/>
      <c r="C24" s="193"/>
      <c r="D24" s="194"/>
      <c r="E24" s="194"/>
      <c r="F24" s="194"/>
      <c r="G24" s="194"/>
      <c r="H24" s="194"/>
      <c r="I24" s="194"/>
      <c r="J24" s="195"/>
      <c r="K24" s="195"/>
      <c r="L24" s="194"/>
      <c r="M24" s="194"/>
      <c r="N24" s="194"/>
      <c r="O24" s="195"/>
      <c r="P24" s="195"/>
      <c r="Q24" s="194"/>
      <c r="R24" s="195"/>
      <c r="S24" s="195"/>
      <c r="T24" s="195"/>
      <c r="U24" s="195"/>
      <c r="V24" s="196"/>
    </row>
    <row r="25" spans="1:22">
      <c r="A25" s="191"/>
      <c r="B25" s="192"/>
      <c r="C25" s="193"/>
      <c r="D25" s="194"/>
      <c r="E25" s="194"/>
      <c r="F25" s="194"/>
      <c r="G25" s="194"/>
      <c r="H25" s="194"/>
      <c r="I25" s="194"/>
      <c r="J25" s="195"/>
      <c r="K25" s="195"/>
      <c r="L25" s="194"/>
      <c r="M25" s="194"/>
      <c r="N25" s="194"/>
      <c r="O25" s="195"/>
      <c r="P25" s="195"/>
      <c r="Q25" s="194"/>
      <c r="R25" s="195"/>
      <c r="S25" s="195"/>
      <c r="T25" s="195"/>
      <c r="U25" s="195"/>
      <c r="V25" s="196"/>
    </row>
    <row r="26" spans="1:22">
      <c r="A26" s="191"/>
      <c r="B26" s="197"/>
      <c r="C26" s="198"/>
      <c r="D26" s="199"/>
      <c r="E26" s="199"/>
      <c r="F26" s="199"/>
      <c r="G26" s="199"/>
      <c r="H26" s="199"/>
      <c r="I26" s="199"/>
      <c r="J26" s="202"/>
      <c r="K26" s="202"/>
      <c r="L26" s="199"/>
      <c r="M26" s="199"/>
      <c r="N26" s="199"/>
      <c r="O26" s="202"/>
      <c r="P26" s="202"/>
      <c r="Q26" s="199"/>
      <c r="R26" s="202"/>
      <c r="S26" s="202"/>
      <c r="T26" s="202"/>
      <c r="U26" s="202"/>
      <c r="V26" s="196"/>
    </row>
    <row r="27" spans="1:22">
      <c r="A27" s="191"/>
      <c r="B27" s="168"/>
      <c r="C27" s="188"/>
      <c r="D27" s="189"/>
      <c r="E27" s="189"/>
      <c r="F27" s="189"/>
      <c r="G27" s="189"/>
      <c r="H27" s="189"/>
      <c r="I27" s="189"/>
      <c r="J27" s="190"/>
      <c r="K27" s="190"/>
      <c r="L27" s="189"/>
      <c r="M27" s="189"/>
      <c r="N27" s="189"/>
      <c r="O27" s="190"/>
      <c r="P27" s="190"/>
      <c r="Q27" s="189"/>
      <c r="R27" s="190"/>
      <c r="S27" s="190"/>
      <c r="T27" s="190"/>
      <c r="U27" s="190"/>
      <c r="V27" s="196"/>
    </row>
    <row r="28" spans="1:22">
      <c r="A28" s="191"/>
      <c r="B28" s="192"/>
      <c r="C28" s="193"/>
      <c r="D28" s="194"/>
      <c r="E28" s="194"/>
      <c r="F28" s="203"/>
      <c r="G28" s="203"/>
      <c r="H28" s="194"/>
      <c r="I28" s="194"/>
      <c r="J28" s="195"/>
      <c r="K28" s="195"/>
      <c r="L28" s="194"/>
      <c r="M28" s="194"/>
      <c r="N28" s="194"/>
      <c r="O28" s="195"/>
      <c r="P28" s="195"/>
      <c r="Q28" s="194"/>
      <c r="R28" s="195"/>
      <c r="S28" s="195"/>
      <c r="T28" s="195"/>
      <c r="U28" s="195"/>
      <c r="V28" s="196"/>
    </row>
    <row r="29" spans="1:22">
      <c r="A29" s="191"/>
      <c r="B29" s="197"/>
      <c r="C29" s="198"/>
      <c r="D29" s="199"/>
      <c r="E29" s="199"/>
      <c r="F29" s="201"/>
      <c r="G29" s="201"/>
      <c r="H29" s="199"/>
      <c r="I29" s="199"/>
      <c r="J29" s="202"/>
      <c r="K29" s="202"/>
      <c r="L29" s="199"/>
      <c r="M29" s="199"/>
      <c r="N29" s="199"/>
      <c r="O29" s="202"/>
      <c r="P29" s="202"/>
      <c r="Q29" s="199"/>
      <c r="R29" s="202"/>
      <c r="S29" s="202"/>
      <c r="T29" s="202"/>
      <c r="U29" s="202"/>
      <c r="V29" s="196"/>
    </row>
    <row r="30" spans="1:22">
      <c r="A30" s="191"/>
      <c r="B30" s="168"/>
      <c r="C30" s="188"/>
      <c r="D30" s="189"/>
      <c r="E30" s="189"/>
      <c r="F30" s="189"/>
      <c r="G30" s="189"/>
      <c r="H30" s="189"/>
      <c r="I30" s="189"/>
      <c r="J30" s="190"/>
      <c r="K30" s="190"/>
      <c r="L30" s="189"/>
      <c r="M30" s="189"/>
      <c r="N30" s="189"/>
      <c r="O30" s="190"/>
      <c r="P30" s="190"/>
      <c r="Q30" s="189"/>
      <c r="R30" s="190"/>
      <c r="S30" s="190"/>
      <c r="T30" s="190"/>
      <c r="U30" s="190"/>
      <c r="V30" s="196"/>
    </row>
    <row r="31" spans="1:22">
      <c r="A31" s="191"/>
      <c r="B31" s="192"/>
      <c r="C31" s="193"/>
      <c r="D31" s="194"/>
      <c r="E31" s="194"/>
      <c r="F31" s="194"/>
      <c r="G31" s="194"/>
      <c r="H31" s="194"/>
      <c r="I31" s="194"/>
      <c r="J31" s="195"/>
      <c r="K31" s="195"/>
      <c r="L31" s="194"/>
      <c r="M31" s="194"/>
      <c r="N31" s="194"/>
      <c r="O31" s="195"/>
      <c r="P31" s="195"/>
      <c r="Q31" s="194"/>
      <c r="R31" s="195"/>
      <c r="S31" s="195"/>
      <c r="T31" s="195"/>
      <c r="U31" s="195"/>
      <c r="V31" s="196"/>
    </row>
    <row r="32" spans="1:22">
      <c r="A32" s="191"/>
      <c r="B32" s="197"/>
      <c r="C32" s="198"/>
      <c r="D32" s="199"/>
      <c r="E32" s="199"/>
      <c r="F32" s="199"/>
      <c r="G32" s="199"/>
      <c r="H32" s="199"/>
      <c r="I32" s="199"/>
      <c r="J32" s="202"/>
      <c r="K32" s="202"/>
      <c r="L32" s="199"/>
      <c r="M32" s="199"/>
      <c r="N32" s="199"/>
      <c r="O32" s="202"/>
      <c r="P32" s="202"/>
      <c r="Q32" s="199"/>
      <c r="R32" s="202"/>
      <c r="S32" s="202"/>
      <c r="T32" s="202"/>
      <c r="U32" s="202"/>
      <c r="V32" s="196"/>
    </row>
    <row r="33" spans="1:22">
      <c r="A33" s="191"/>
      <c r="B33" s="168"/>
      <c r="C33" s="188"/>
      <c r="D33" s="189"/>
      <c r="E33" s="189"/>
      <c r="F33" s="189"/>
      <c r="G33" s="189"/>
      <c r="H33" s="189"/>
      <c r="I33" s="189"/>
      <c r="J33" s="190"/>
      <c r="K33" s="190"/>
      <c r="L33" s="189"/>
      <c r="M33" s="189"/>
      <c r="N33" s="189"/>
      <c r="O33" s="190"/>
      <c r="P33" s="190"/>
      <c r="Q33" s="189"/>
      <c r="R33" s="190"/>
      <c r="S33" s="190"/>
      <c r="T33" s="190"/>
      <c r="U33" s="190"/>
      <c r="V33" s="196"/>
    </row>
    <row r="34" spans="1:22">
      <c r="A34" s="191"/>
      <c r="B34" s="192"/>
      <c r="C34" s="193"/>
      <c r="D34" s="194"/>
      <c r="E34" s="194"/>
      <c r="F34" s="194"/>
      <c r="G34" s="194"/>
      <c r="H34" s="194"/>
      <c r="I34" s="194"/>
      <c r="J34" s="195"/>
      <c r="K34" s="195"/>
      <c r="L34" s="194"/>
      <c r="M34" s="194"/>
      <c r="N34" s="194"/>
      <c r="O34" s="195"/>
      <c r="P34" s="195"/>
      <c r="Q34" s="194"/>
      <c r="R34" s="195"/>
      <c r="S34" s="195"/>
      <c r="T34" s="195"/>
      <c r="U34" s="195"/>
      <c r="V34" s="196"/>
    </row>
    <row r="35" spans="1:22">
      <c r="A35" s="191"/>
      <c r="B35" s="197"/>
      <c r="C35" s="198"/>
      <c r="D35" s="199"/>
      <c r="E35" s="199"/>
      <c r="F35" s="199"/>
      <c r="G35" s="199"/>
      <c r="H35" s="199"/>
      <c r="I35" s="199"/>
      <c r="J35" s="202"/>
      <c r="K35" s="202"/>
      <c r="L35" s="199"/>
      <c r="M35" s="199"/>
      <c r="N35" s="199"/>
      <c r="O35" s="202"/>
      <c r="P35" s="202"/>
      <c r="Q35" s="199"/>
      <c r="R35" s="202"/>
      <c r="S35" s="202"/>
      <c r="T35" s="202"/>
      <c r="U35" s="202"/>
      <c r="V35" s="196"/>
    </row>
    <row r="36" spans="1:22">
      <c r="A36" s="191"/>
      <c r="B36" s="168"/>
      <c r="C36" s="188"/>
      <c r="D36" s="189"/>
      <c r="E36" s="189"/>
      <c r="F36" s="189"/>
      <c r="G36" s="189"/>
      <c r="H36" s="189"/>
      <c r="I36" s="189"/>
      <c r="J36" s="190"/>
      <c r="K36" s="190"/>
      <c r="L36" s="189"/>
      <c r="M36" s="189"/>
      <c r="N36" s="189"/>
      <c r="O36" s="190"/>
      <c r="P36" s="190"/>
      <c r="Q36" s="189"/>
      <c r="R36" s="190"/>
      <c r="S36" s="190"/>
      <c r="T36" s="190"/>
      <c r="U36" s="190"/>
      <c r="V36" s="196"/>
    </row>
    <row r="37" spans="1:22">
      <c r="A37" s="191"/>
      <c r="B37" s="192"/>
      <c r="C37" s="193"/>
      <c r="D37" s="194"/>
      <c r="E37" s="194"/>
      <c r="F37" s="194"/>
      <c r="G37" s="194"/>
      <c r="H37" s="194"/>
      <c r="I37" s="194"/>
      <c r="J37" s="195"/>
      <c r="K37" s="195"/>
      <c r="L37" s="194"/>
      <c r="M37" s="194"/>
      <c r="N37" s="194"/>
      <c r="O37" s="195"/>
      <c r="P37" s="195"/>
      <c r="Q37" s="194"/>
      <c r="R37" s="195"/>
      <c r="S37" s="195"/>
      <c r="T37" s="195"/>
      <c r="U37" s="195"/>
      <c r="V37" s="196"/>
    </row>
    <row r="38" spans="1:22">
      <c r="A38" s="191"/>
      <c r="B38" s="197"/>
      <c r="C38" s="198"/>
      <c r="D38" s="199"/>
      <c r="E38" s="199"/>
      <c r="F38" s="199"/>
      <c r="G38" s="199"/>
      <c r="H38" s="199"/>
      <c r="I38" s="199"/>
      <c r="J38" s="202"/>
      <c r="K38" s="202"/>
      <c r="L38" s="199"/>
      <c r="M38" s="199"/>
      <c r="N38" s="199"/>
      <c r="O38" s="202"/>
      <c r="P38" s="202"/>
      <c r="Q38" s="199"/>
      <c r="R38" s="202"/>
      <c r="S38" s="202"/>
      <c r="T38" s="202"/>
      <c r="U38" s="202"/>
      <c r="V38" s="196"/>
    </row>
    <row r="39" spans="1:22">
      <c r="A39" s="191"/>
      <c r="B39" s="168"/>
      <c r="C39" s="188"/>
      <c r="D39" s="189"/>
      <c r="E39" s="189"/>
      <c r="F39" s="189"/>
      <c r="G39" s="189"/>
      <c r="H39" s="189"/>
      <c r="I39" s="189"/>
      <c r="J39" s="190"/>
      <c r="K39" s="190"/>
      <c r="L39" s="189"/>
      <c r="M39" s="189"/>
      <c r="N39" s="189"/>
      <c r="O39" s="190"/>
      <c r="P39" s="190"/>
      <c r="Q39" s="189"/>
      <c r="R39" s="190"/>
      <c r="S39" s="190"/>
      <c r="T39" s="190"/>
      <c r="U39" s="190"/>
      <c r="V39" s="196"/>
    </row>
    <row r="40" spans="1:22">
      <c r="A40" s="191"/>
      <c r="B40" s="192"/>
      <c r="C40" s="193"/>
      <c r="D40" s="194"/>
      <c r="E40" s="194"/>
      <c r="F40" s="194"/>
      <c r="G40" s="194"/>
      <c r="H40" s="194"/>
      <c r="I40" s="194"/>
      <c r="J40" s="195"/>
      <c r="K40" s="195"/>
      <c r="L40" s="194"/>
      <c r="M40" s="194"/>
      <c r="N40" s="194"/>
      <c r="O40" s="195"/>
      <c r="P40" s="195"/>
      <c r="Q40" s="194"/>
      <c r="R40" s="195"/>
      <c r="S40" s="195"/>
      <c r="T40" s="195"/>
      <c r="U40" s="195"/>
      <c r="V40" s="196"/>
    </row>
    <row r="41" spans="1:22" ht="15.75" thickBot="1">
      <c r="A41" s="210"/>
      <c r="B41" s="211"/>
      <c r="C41" s="212"/>
      <c r="D41" s="213"/>
      <c r="E41" s="213"/>
      <c r="F41" s="213"/>
      <c r="G41" s="213"/>
      <c r="H41" s="213"/>
      <c r="I41" s="213"/>
      <c r="J41" s="214"/>
      <c r="K41" s="214"/>
      <c r="L41" s="213"/>
      <c r="M41" s="213"/>
      <c r="N41" s="213"/>
      <c r="O41" s="214"/>
      <c r="P41" s="214"/>
      <c r="Q41" s="213"/>
      <c r="R41" s="214"/>
      <c r="S41" s="214"/>
      <c r="T41" s="214"/>
      <c r="U41" s="214"/>
      <c r="V41" s="196"/>
    </row>
    <row r="42" spans="1:22">
      <c r="A42" s="215"/>
      <c r="B42" s="192"/>
      <c r="C42" s="193"/>
      <c r="D42" s="194"/>
      <c r="E42" s="194"/>
      <c r="F42" s="194"/>
      <c r="G42" s="194"/>
      <c r="H42" s="194"/>
      <c r="I42" s="194"/>
      <c r="J42" s="195"/>
      <c r="K42" s="195"/>
      <c r="L42" s="194"/>
      <c r="M42" s="194"/>
      <c r="N42" s="194"/>
      <c r="O42" s="195"/>
      <c r="P42" s="195"/>
      <c r="Q42" s="194"/>
      <c r="R42" s="195"/>
      <c r="S42" s="195"/>
      <c r="T42" s="195"/>
      <c r="U42" s="195"/>
      <c r="V42" s="196"/>
    </row>
    <row r="43" spans="1:22">
      <c r="A43" s="191"/>
      <c r="B43" s="192"/>
      <c r="C43" s="193"/>
      <c r="D43" s="194"/>
      <c r="E43" s="194"/>
      <c r="F43" s="194"/>
      <c r="G43" s="194"/>
      <c r="H43" s="194"/>
      <c r="I43" s="194"/>
      <c r="J43" s="195"/>
      <c r="K43" s="195"/>
      <c r="L43" s="194"/>
      <c r="M43" s="194"/>
      <c r="N43" s="194"/>
      <c r="O43" s="195"/>
      <c r="P43" s="195"/>
      <c r="Q43" s="194"/>
      <c r="R43" s="195"/>
      <c r="S43" s="195"/>
      <c r="T43" s="195"/>
      <c r="U43" s="195"/>
      <c r="V43" s="196"/>
    </row>
    <row r="44" spans="1:22">
      <c r="A44" s="191"/>
      <c r="B44" s="197"/>
      <c r="C44" s="198"/>
      <c r="D44" s="199"/>
      <c r="E44" s="199"/>
      <c r="F44" s="199"/>
      <c r="G44" s="199"/>
      <c r="H44" s="199"/>
      <c r="I44" s="199"/>
      <c r="J44" s="202"/>
      <c r="K44" s="202"/>
      <c r="L44" s="199"/>
      <c r="M44" s="201"/>
      <c r="N44" s="199"/>
      <c r="O44" s="202"/>
      <c r="P44" s="202"/>
      <c r="Q44" s="199"/>
      <c r="R44" s="202"/>
      <c r="S44" s="202"/>
      <c r="T44" s="202"/>
      <c r="U44" s="202"/>
      <c r="V44" s="196"/>
    </row>
    <row r="45" spans="1:22">
      <c r="A45" s="191"/>
      <c r="B45" s="168"/>
      <c r="C45" s="188"/>
      <c r="D45" s="189"/>
      <c r="E45" s="189"/>
      <c r="F45" s="189"/>
      <c r="G45" s="189"/>
      <c r="H45" s="189"/>
      <c r="I45" s="189"/>
      <c r="J45" s="190"/>
      <c r="K45" s="190"/>
      <c r="L45" s="189"/>
      <c r="M45" s="189"/>
      <c r="N45" s="189"/>
      <c r="O45" s="190"/>
      <c r="P45" s="190"/>
      <c r="Q45" s="189"/>
      <c r="R45" s="190"/>
      <c r="S45" s="190"/>
      <c r="T45" s="190"/>
      <c r="U45" s="190"/>
      <c r="V45" s="196"/>
    </row>
    <row r="46" spans="1:22">
      <c r="A46" s="191"/>
      <c r="B46" s="192"/>
      <c r="C46" s="193"/>
      <c r="D46" s="194"/>
      <c r="E46" s="194"/>
      <c r="F46" s="194"/>
      <c r="G46" s="194"/>
      <c r="H46" s="194"/>
      <c r="I46" s="194"/>
      <c r="J46" s="195"/>
      <c r="K46" s="195"/>
      <c r="L46" s="194"/>
      <c r="M46" s="194"/>
      <c r="N46" s="194"/>
      <c r="O46" s="195"/>
      <c r="P46" s="195"/>
      <c r="Q46" s="194"/>
      <c r="R46" s="195"/>
      <c r="S46" s="195"/>
      <c r="T46" s="195"/>
      <c r="U46" s="195"/>
      <c r="V46" s="196"/>
    </row>
    <row r="47" spans="1:22">
      <c r="A47" s="191"/>
      <c r="B47" s="197"/>
      <c r="C47" s="198"/>
      <c r="D47" s="199"/>
      <c r="E47" s="199"/>
      <c r="F47" s="199"/>
      <c r="G47" s="199"/>
      <c r="H47" s="199"/>
      <c r="I47" s="199"/>
      <c r="J47" s="202"/>
      <c r="K47" s="202"/>
      <c r="L47" s="199"/>
      <c r="M47" s="199"/>
      <c r="N47" s="199"/>
      <c r="O47" s="202"/>
      <c r="P47" s="202"/>
      <c r="Q47" s="199"/>
      <c r="R47" s="202"/>
      <c r="S47" s="202"/>
      <c r="T47" s="202"/>
      <c r="U47" s="202"/>
      <c r="V47" s="196"/>
    </row>
    <row r="48" spans="1:22">
      <c r="A48" s="191"/>
      <c r="B48" s="168"/>
      <c r="C48" s="188"/>
      <c r="D48" s="189"/>
      <c r="E48" s="189"/>
      <c r="F48" s="189"/>
      <c r="G48" s="189"/>
      <c r="H48" s="189"/>
      <c r="I48" s="189"/>
      <c r="J48" s="190"/>
      <c r="K48" s="190"/>
      <c r="L48" s="189"/>
      <c r="M48" s="189"/>
      <c r="N48" s="189"/>
      <c r="O48" s="190"/>
      <c r="P48" s="190"/>
      <c r="Q48" s="189"/>
      <c r="R48" s="190"/>
      <c r="S48" s="190"/>
      <c r="T48" s="190"/>
      <c r="U48" s="190"/>
      <c r="V48" s="196"/>
    </row>
    <row r="49" spans="1:22">
      <c r="A49" s="191"/>
      <c r="B49" s="192"/>
      <c r="C49" s="193"/>
      <c r="D49" s="194"/>
      <c r="E49" s="194"/>
      <c r="F49" s="194"/>
      <c r="G49" s="194"/>
      <c r="H49" s="194"/>
      <c r="I49" s="194"/>
      <c r="J49" s="195"/>
      <c r="K49" s="195"/>
      <c r="L49" s="194"/>
      <c r="M49" s="194"/>
      <c r="N49" s="194"/>
      <c r="O49" s="195"/>
      <c r="P49" s="195"/>
      <c r="Q49" s="194"/>
      <c r="R49" s="195"/>
      <c r="S49" s="195"/>
      <c r="T49" s="195"/>
      <c r="U49" s="195"/>
      <c r="V49" s="196"/>
    </row>
    <row r="50" spans="1:22">
      <c r="A50" s="191"/>
      <c r="B50" s="197"/>
      <c r="C50" s="198"/>
      <c r="D50" s="199"/>
      <c r="E50" s="199"/>
      <c r="F50" s="199"/>
      <c r="G50" s="199"/>
      <c r="H50" s="199"/>
      <c r="I50" s="199"/>
      <c r="J50" s="202"/>
      <c r="K50" s="202"/>
      <c r="L50" s="199"/>
      <c r="M50" s="199"/>
      <c r="N50" s="199"/>
      <c r="O50" s="202"/>
      <c r="P50" s="202"/>
      <c r="Q50" s="199"/>
      <c r="R50" s="202"/>
      <c r="S50" s="202"/>
      <c r="T50" s="202"/>
      <c r="U50" s="202"/>
      <c r="V50" s="196"/>
    </row>
    <row r="51" spans="1:22">
      <c r="A51" s="191"/>
      <c r="B51" s="168"/>
      <c r="C51" s="188"/>
      <c r="D51" s="189"/>
      <c r="E51" s="189"/>
      <c r="F51" s="189"/>
      <c r="G51" s="189"/>
      <c r="H51" s="189"/>
      <c r="I51" s="189"/>
      <c r="J51" s="190"/>
      <c r="K51" s="190"/>
      <c r="L51" s="189"/>
      <c r="M51" s="189"/>
      <c r="N51" s="189"/>
      <c r="O51" s="190"/>
      <c r="P51" s="190"/>
      <c r="Q51" s="189"/>
      <c r="R51" s="190"/>
      <c r="S51" s="190"/>
      <c r="T51" s="190"/>
      <c r="U51" s="190"/>
      <c r="V51" s="196"/>
    </row>
    <row r="52" spans="1:22">
      <c r="A52" s="191"/>
      <c r="B52" s="192"/>
      <c r="C52" s="193"/>
      <c r="D52" s="194"/>
      <c r="E52" s="194"/>
      <c r="F52" s="194"/>
      <c r="G52" s="203"/>
      <c r="H52" s="203"/>
      <c r="I52" s="194"/>
      <c r="J52" s="195"/>
      <c r="K52" s="195"/>
      <c r="L52" s="194"/>
      <c r="M52" s="194"/>
      <c r="N52" s="194"/>
      <c r="O52" s="195"/>
      <c r="P52" s="195"/>
      <c r="Q52" s="194"/>
      <c r="R52" s="195"/>
      <c r="S52" s="195"/>
      <c r="T52" s="195"/>
      <c r="U52" s="195"/>
      <c r="V52" s="196"/>
    </row>
    <row r="53" spans="1:22">
      <c r="A53" s="191"/>
      <c r="B53" s="197"/>
      <c r="C53" s="198"/>
      <c r="D53" s="199"/>
      <c r="E53" s="199"/>
      <c r="F53" s="199"/>
      <c r="G53" s="201"/>
      <c r="H53" s="201"/>
      <c r="I53" s="199"/>
      <c r="J53" s="202"/>
      <c r="K53" s="202"/>
      <c r="L53" s="199"/>
      <c r="M53" s="199"/>
      <c r="N53" s="199"/>
      <c r="O53" s="202"/>
      <c r="P53" s="202"/>
      <c r="Q53" s="199"/>
      <c r="R53" s="202"/>
      <c r="S53" s="202"/>
      <c r="T53" s="202"/>
      <c r="U53" s="202"/>
      <c r="V53" s="196"/>
    </row>
    <row r="54" spans="1:22">
      <c r="A54" s="191"/>
      <c r="B54" s="168"/>
      <c r="C54" s="188"/>
      <c r="D54" s="189"/>
      <c r="E54" s="189"/>
      <c r="F54" s="189"/>
      <c r="G54" s="189"/>
      <c r="H54" s="189"/>
      <c r="I54" s="189"/>
      <c r="J54" s="190"/>
      <c r="K54" s="190"/>
      <c r="L54" s="189"/>
      <c r="M54" s="189"/>
      <c r="N54" s="189"/>
      <c r="O54" s="190"/>
      <c r="P54" s="190"/>
      <c r="Q54" s="189"/>
      <c r="R54" s="190"/>
      <c r="S54" s="190"/>
      <c r="T54" s="190"/>
      <c r="U54" s="190"/>
      <c r="V54" s="196"/>
    </row>
    <row r="55" spans="1:22">
      <c r="A55" s="191"/>
      <c r="B55" s="192"/>
      <c r="C55" s="193"/>
      <c r="D55" s="194"/>
      <c r="E55" s="194"/>
      <c r="F55" s="194"/>
      <c r="G55" s="194"/>
      <c r="H55" s="194"/>
      <c r="I55" s="194"/>
      <c r="J55" s="195"/>
      <c r="K55" s="195"/>
      <c r="L55" s="194"/>
      <c r="M55" s="194"/>
      <c r="N55" s="194"/>
      <c r="O55" s="195"/>
      <c r="P55" s="195"/>
      <c r="Q55" s="194"/>
      <c r="R55" s="195"/>
      <c r="S55" s="195"/>
      <c r="T55" s="195"/>
      <c r="U55" s="195"/>
      <c r="V55" s="196"/>
    </row>
    <row r="56" spans="1:22">
      <c r="A56" s="191"/>
      <c r="B56" s="197"/>
      <c r="C56" s="198"/>
      <c r="D56" s="199"/>
      <c r="E56" s="199"/>
      <c r="F56" s="199"/>
      <c r="G56" s="199"/>
      <c r="H56" s="199"/>
      <c r="I56" s="199"/>
      <c r="J56" s="202"/>
      <c r="K56" s="202"/>
      <c r="L56" s="199"/>
      <c r="M56" s="199"/>
      <c r="N56" s="199"/>
      <c r="O56" s="202"/>
      <c r="P56" s="202"/>
      <c r="Q56" s="199"/>
      <c r="R56" s="202"/>
      <c r="S56" s="202"/>
      <c r="T56" s="202"/>
      <c r="U56" s="202"/>
      <c r="V56" s="196"/>
    </row>
    <row r="57" spans="1:22">
      <c r="A57" s="191"/>
      <c r="B57" s="168"/>
      <c r="C57" s="188"/>
      <c r="D57" s="189"/>
      <c r="E57" s="189"/>
      <c r="F57" s="189"/>
      <c r="G57" s="189"/>
      <c r="H57" s="189"/>
      <c r="I57" s="189"/>
      <c r="J57" s="190"/>
      <c r="K57" s="190"/>
      <c r="L57" s="189"/>
      <c r="M57" s="189"/>
      <c r="N57" s="189"/>
      <c r="O57" s="190"/>
      <c r="P57" s="190"/>
      <c r="Q57" s="189"/>
      <c r="R57" s="190"/>
      <c r="S57" s="190"/>
      <c r="T57" s="190"/>
      <c r="U57" s="190"/>
      <c r="V57" s="196"/>
    </row>
    <row r="58" spans="1:22">
      <c r="A58" s="191"/>
      <c r="B58" s="192"/>
      <c r="C58" s="193"/>
      <c r="D58" s="194"/>
      <c r="E58" s="194"/>
      <c r="F58" s="194"/>
      <c r="G58" s="194"/>
      <c r="H58" s="194"/>
      <c r="I58" s="194"/>
      <c r="J58" s="195"/>
      <c r="K58" s="195"/>
      <c r="L58" s="194"/>
      <c r="M58" s="194"/>
      <c r="N58" s="194"/>
      <c r="O58" s="195"/>
      <c r="P58" s="195"/>
      <c r="Q58" s="194"/>
      <c r="R58" s="195"/>
      <c r="S58" s="195"/>
      <c r="T58" s="195"/>
      <c r="U58" s="195"/>
      <c r="V58" s="196"/>
    </row>
    <row r="59" spans="1:22" ht="15.75" thickBot="1">
      <c r="A59" s="191"/>
      <c r="B59" s="206"/>
      <c r="C59" s="207"/>
      <c r="D59" s="208"/>
      <c r="E59" s="208"/>
      <c r="F59" s="208"/>
      <c r="G59" s="208"/>
      <c r="H59" s="208"/>
      <c r="I59" s="208"/>
      <c r="J59" s="209"/>
      <c r="K59" s="209"/>
      <c r="L59" s="208"/>
      <c r="M59" s="208"/>
      <c r="N59" s="208"/>
      <c r="O59" s="209"/>
      <c r="P59" s="209"/>
      <c r="Q59" s="208"/>
      <c r="R59" s="209"/>
      <c r="S59" s="209"/>
      <c r="T59" s="209"/>
      <c r="U59" s="209"/>
      <c r="V59" s="196"/>
    </row>
    <row r="60" spans="1:22" ht="15.75" thickTop="1">
      <c r="A60" s="191"/>
      <c r="B60" s="192"/>
      <c r="C60" s="193"/>
      <c r="D60" s="194"/>
      <c r="E60" s="194"/>
      <c r="F60" s="194"/>
      <c r="G60" s="194"/>
      <c r="H60" s="194"/>
      <c r="I60" s="194"/>
      <c r="J60" s="195"/>
      <c r="K60" s="195"/>
      <c r="L60" s="194"/>
      <c r="M60" s="194"/>
      <c r="N60" s="194"/>
      <c r="O60" s="195"/>
      <c r="P60" s="195"/>
      <c r="Q60" s="194"/>
      <c r="R60" s="195"/>
      <c r="S60" s="195"/>
      <c r="T60" s="195"/>
      <c r="U60" s="195"/>
      <c r="V60" s="196"/>
    </row>
    <row r="61" spans="1:22">
      <c r="A61" s="191"/>
      <c r="B61" s="192"/>
      <c r="C61" s="193"/>
      <c r="D61" s="194"/>
      <c r="E61" s="194"/>
      <c r="F61" s="194"/>
      <c r="G61" s="194"/>
      <c r="H61" s="194"/>
      <c r="I61" s="194"/>
      <c r="J61" s="195"/>
      <c r="K61" s="195"/>
      <c r="L61" s="194"/>
      <c r="M61" s="194"/>
      <c r="N61" s="194"/>
      <c r="O61" s="195"/>
      <c r="P61" s="195"/>
      <c r="Q61" s="194"/>
      <c r="R61" s="195"/>
      <c r="S61" s="195"/>
      <c r="T61" s="195"/>
      <c r="U61" s="195"/>
      <c r="V61" s="196"/>
    </row>
    <row r="62" spans="1:22">
      <c r="A62" s="191"/>
      <c r="B62" s="197"/>
      <c r="C62" s="198"/>
      <c r="D62" s="199"/>
      <c r="E62" s="199"/>
      <c r="F62" s="199"/>
      <c r="G62" s="199"/>
      <c r="H62" s="199"/>
      <c r="I62" s="199"/>
      <c r="J62" s="202"/>
      <c r="K62" s="202"/>
      <c r="L62" s="199"/>
      <c r="M62" s="199"/>
      <c r="N62" s="199"/>
      <c r="O62" s="202"/>
      <c r="P62" s="202"/>
      <c r="Q62" s="199"/>
      <c r="R62" s="202"/>
      <c r="S62" s="202"/>
      <c r="T62" s="202"/>
      <c r="U62" s="202"/>
      <c r="V62" s="196"/>
    </row>
    <row r="63" spans="1:22">
      <c r="A63" s="191"/>
      <c r="B63" s="168"/>
      <c r="C63" s="188"/>
      <c r="D63" s="189"/>
      <c r="E63" s="189"/>
      <c r="F63" s="189"/>
      <c r="G63" s="189"/>
      <c r="H63" s="189"/>
      <c r="I63" s="189"/>
      <c r="J63" s="190"/>
      <c r="K63" s="190"/>
      <c r="L63" s="189"/>
      <c r="M63" s="189"/>
      <c r="N63" s="189"/>
      <c r="O63" s="190"/>
      <c r="P63" s="190"/>
      <c r="Q63" s="189"/>
      <c r="R63" s="190"/>
      <c r="S63" s="190"/>
      <c r="T63" s="190"/>
      <c r="U63" s="190"/>
      <c r="V63" s="196"/>
    </row>
    <row r="64" spans="1:22">
      <c r="A64" s="191"/>
      <c r="B64" s="192"/>
      <c r="C64" s="193"/>
      <c r="D64" s="194"/>
      <c r="E64" s="194"/>
      <c r="F64" s="194"/>
      <c r="G64" s="194"/>
      <c r="H64" s="194"/>
      <c r="I64" s="194"/>
      <c r="J64" s="195"/>
      <c r="K64" s="195"/>
      <c r="L64" s="194"/>
      <c r="M64" s="194"/>
      <c r="N64" s="194"/>
      <c r="O64" s="195"/>
      <c r="P64" s="195"/>
      <c r="Q64" s="194"/>
      <c r="R64" s="195"/>
      <c r="S64" s="195"/>
      <c r="T64" s="195"/>
      <c r="U64" s="195"/>
      <c r="V64" s="196"/>
    </row>
    <row r="65" spans="1:23">
      <c r="A65" s="191"/>
      <c r="B65" s="197"/>
      <c r="C65" s="198"/>
      <c r="D65" s="199"/>
      <c r="E65" s="199"/>
      <c r="F65" s="201"/>
      <c r="G65" s="199"/>
      <c r="H65" s="199"/>
      <c r="I65" s="199"/>
      <c r="J65" s="202"/>
      <c r="K65" s="202"/>
      <c r="L65" s="199"/>
      <c r="M65" s="199"/>
      <c r="N65" s="199"/>
      <c r="O65" s="202"/>
      <c r="P65" s="202"/>
      <c r="Q65" s="199"/>
      <c r="R65" s="202"/>
      <c r="S65" s="202"/>
      <c r="T65" s="202"/>
      <c r="U65" s="202"/>
      <c r="V65" s="196"/>
    </row>
    <row r="66" spans="1:23">
      <c r="A66" s="191"/>
      <c r="B66" s="168"/>
      <c r="C66" s="188"/>
      <c r="D66" s="189"/>
      <c r="E66" s="189"/>
      <c r="F66" s="189"/>
      <c r="G66" s="189"/>
      <c r="H66" s="189"/>
      <c r="I66" s="189"/>
      <c r="J66" s="190"/>
      <c r="K66" s="190"/>
      <c r="L66" s="189"/>
      <c r="M66" s="189"/>
      <c r="N66" s="189"/>
      <c r="O66" s="190"/>
      <c r="P66" s="190"/>
      <c r="Q66" s="189"/>
      <c r="R66" s="190"/>
      <c r="S66" s="190"/>
      <c r="T66" s="190"/>
      <c r="U66" s="190"/>
      <c r="V66" s="196"/>
    </row>
    <row r="67" spans="1:23">
      <c r="A67" s="191"/>
      <c r="B67" s="192"/>
      <c r="C67" s="193"/>
      <c r="D67" s="194"/>
      <c r="E67" s="194"/>
      <c r="F67" s="194"/>
      <c r="G67" s="194"/>
      <c r="H67" s="194"/>
      <c r="I67" s="194"/>
      <c r="J67" s="195"/>
      <c r="K67" s="195"/>
      <c r="L67" s="194"/>
      <c r="M67" s="194"/>
      <c r="N67" s="194"/>
      <c r="O67" s="195"/>
      <c r="P67" s="195"/>
      <c r="Q67" s="194"/>
      <c r="R67" s="195"/>
      <c r="S67" s="195"/>
      <c r="T67" s="195"/>
      <c r="U67" s="195"/>
      <c r="V67" s="196"/>
    </row>
    <row r="68" spans="1:23">
      <c r="A68" s="191"/>
      <c r="B68" s="197"/>
      <c r="C68" s="198"/>
      <c r="D68" s="199"/>
      <c r="E68" s="199"/>
      <c r="F68" s="201"/>
      <c r="G68" s="199"/>
      <c r="H68" s="199"/>
      <c r="I68" s="199"/>
      <c r="J68" s="202"/>
      <c r="K68" s="202"/>
      <c r="L68" s="199"/>
      <c r="M68" s="199"/>
      <c r="N68" s="199"/>
      <c r="O68" s="202"/>
      <c r="P68" s="202"/>
      <c r="Q68" s="199"/>
      <c r="R68" s="202"/>
      <c r="S68" s="202"/>
      <c r="T68" s="202"/>
      <c r="U68" s="202"/>
      <c r="V68" s="196"/>
    </row>
    <row r="69" spans="1:23">
      <c r="A69" s="191"/>
      <c r="B69" s="168"/>
      <c r="C69" s="188"/>
      <c r="D69" s="189"/>
      <c r="E69" s="189"/>
      <c r="F69" s="189"/>
      <c r="G69" s="189"/>
      <c r="H69" s="189"/>
      <c r="I69" s="189"/>
      <c r="J69" s="190"/>
      <c r="K69" s="190"/>
      <c r="L69" s="189"/>
      <c r="M69" s="189"/>
      <c r="N69" s="189"/>
      <c r="O69" s="190"/>
      <c r="P69" s="190"/>
      <c r="Q69" s="189"/>
      <c r="R69" s="190"/>
      <c r="S69" s="190"/>
      <c r="T69" s="190"/>
      <c r="U69" s="190"/>
      <c r="V69" s="196"/>
    </row>
    <row r="70" spans="1:23">
      <c r="A70" s="191"/>
      <c r="B70" s="192"/>
      <c r="C70" s="193"/>
      <c r="D70" s="194"/>
      <c r="E70" s="194"/>
      <c r="F70" s="203"/>
      <c r="G70" s="194"/>
      <c r="H70" s="194"/>
      <c r="I70" s="194"/>
      <c r="J70" s="195"/>
      <c r="K70" s="195"/>
      <c r="L70" s="194"/>
      <c r="M70" s="194"/>
      <c r="N70" s="194"/>
      <c r="O70" s="195"/>
      <c r="P70" s="195"/>
      <c r="Q70" s="194"/>
      <c r="R70" s="195"/>
      <c r="S70" s="195"/>
      <c r="T70" s="195"/>
      <c r="U70" s="195"/>
      <c r="V70" s="196"/>
    </row>
    <row r="71" spans="1:23">
      <c r="A71" s="191"/>
      <c r="B71" s="197"/>
      <c r="C71" s="198"/>
      <c r="D71" s="199"/>
      <c r="E71" s="199"/>
      <c r="F71" s="199"/>
      <c r="G71" s="199"/>
      <c r="H71" s="199"/>
      <c r="I71" s="199"/>
      <c r="J71" s="202"/>
      <c r="K71" s="202"/>
      <c r="L71" s="199"/>
      <c r="M71" s="199"/>
      <c r="N71" s="199"/>
      <c r="O71" s="202"/>
      <c r="P71" s="202"/>
      <c r="Q71" s="199"/>
      <c r="R71" s="202"/>
      <c r="S71" s="202"/>
      <c r="T71" s="202"/>
      <c r="U71" s="202"/>
      <c r="V71" s="196"/>
    </row>
    <row r="72" spans="1:23">
      <c r="A72" s="191"/>
      <c r="B72" s="168"/>
      <c r="C72" s="188"/>
      <c r="D72" s="189"/>
      <c r="E72" s="189"/>
      <c r="F72" s="189"/>
      <c r="G72" s="189"/>
      <c r="H72" s="189"/>
      <c r="I72" s="189"/>
      <c r="J72" s="190"/>
      <c r="K72" s="190"/>
      <c r="L72" s="189"/>
      <c r="M72" s="189"/>
      <c r="N72" s="189"/>
      <c r="O72" s="190"/>
      <c r="P72" s="190"/>
      <c r="Q72" s="189"/>
      <c r="R72" s="190"/>
      <c r="S72" s="190"/>
      <c r="T72" s="190"/>
      <c r="U72" s="190"/>
      <c r="V72" s="196"/>
    </row>
    <row r="73" spans="1:23">
      <c r="A73" s="191"/>
      <c r="B73" s="192"/>
      <c r="C73" s="193"/>
      <c r="D73" s="194"/>
      <c r="E73" s="194"/>
      <c r="F73" s="194"/>
      <c r="G73" s="194"/>
      <c r="H73" s="194"/>
      <c r="I73" s="194"/>
      <c r="J73" s="195"/>
      <c r="K73" s="195"/>
      <c r="L73" s="194"/>
      <c r="M73" s="194"/>
      <c r="N73" s="194"/>
      <c r="O73" s="195"/>
      <c r="P73" s="195"/>
      <c r="Q73" s="194"/>
      <c r="R73" s="195"/>
      <c r="S73" s="195"/>
      <c r="T73" s="195"/>
      <c r="U73" s="195"/>
      <c r="V73" s="196"/>
    </row>
    <row r="74" spans="1:23">
      <c r="A74" s="191"/>
      <c r="B74" s="197"/>
      <c r="C74" s="198"/>
      <c r="D74" s="199"/>
      <c r="E74" s="199"/>
      <c r="F74" s="199"/>
      <c r="G74" s="199"/>
      <c r="H74" s="199"/>
      <c r="I74" s="199"/>
      <c r="J74" s="202"/>
      <c r="K74" s="202"/>
      <c r="L74" s="199"/>
      <c r="M74" s="199"/>
      <c r="N74" s="199"/>
      <c r="O74" s="202"/>
      <c r="P74" s="202"/>
      <c r="Q74" s="199"/>
      <c r="R74" s="202"/>
      <c r="S74" s="202"/>
      <c r="T74" s="202"/>
      <c r="U74" s="202"/>
      <c r="V74" s="196"/>
    </row>
    <row r="75" spans="1:23">
      <c r="A75" s="191"/>
      <c r="B75" s="168"/>
      <c r="C75" s="188"/>
      <c r="D75" s="189"/>
      <c r="E75" s="189"/>
      <c r="F75" s="189"/>
      <c r="G75" s="189"/>
      <c r="H75" s="189"/>
      <c r="I75" s="189"/>
      <c r="J75" s="190"/>
      <c r="K75" s="190"/>
      <c r="L75" s="189"/>
      <c r="M75" s="189"/>
      <c r="N75" s="189"/>
      <c r="O75" s="190"/>
      <c r="P75" s="190"/>
      <c r="Q75" s="189"/>
      <c r="R75" s="190"/>
      <c r="S75" s="190"/>
      <c r="T75" s="190"/>
      <c r="U75" s="190"/>
      <c r="V75" s="196"/>
    </row>
    <row r="76" spans="1:23">
      <c r="A76" s="191"/>
      <c r="B76" s="192"/>
      <c r="C76" s="193"/>
      <c r="D76" s="194"/>
      <c r="E76" s="194"/>
      <c r="F76" s="194"/>
      <c r="G76" s="194"/>
      <c r="H76" s="194"/>
      <c r="I76" s="194"/>
      <c r="J76" s="195"/>
      <c r="K76" s="195"/>
      <c r="L76" s="194"/>
      <c r="M76" s="194"/>
      <c r="N76" s="194"/>
      <c r="O76" s="195"/>
      <c r="P76" s="195"/>
      <c r="Q76" s="194"/>
      <c r="R76" s="195"/>
      <c r="S76" s="195"/>
      <c r="T76" s="195"/>
      <c r="U76" s="195"/>
      <c r="V76" s="196"/>
      <c r="W76" s="216"/>
    </row>
    <row r="77" spans="1:23" ht="15.75" thickBot="1">
      <c r="A77" s="210"/>
      <c r="B77" s="211"/>
      <c r="C77" s="212"/>
      <c r="D77" s="213"/>
      <c r="E77" s="213"/>
      <c r="F77" s="213"/>
      <c r="G77" s="213"/>
      <c r="H77" s="213"/>
      <c r="I77" s="213"/>
      <c r="J77" s="214"/>
      <c r="K77" s="214"/>
      <c r="L77" s="213"/>
      <c r="M77" s="213"/>
      <c r="N77" s="213"/>
      <c r="O77" s="214"/>
      <c r="P77" s="214"/>
      <c r="Q77" s="213"/>
      <c r="R77" s="214"/>
      <c r="S77" s="214"/>
      <c r="T77" s="214"/>
      <c r="U77" s="214"/>
      <c r="V77" s="196"/>
    </row>
    <row r="78" spans="1:23">
      <c r="A78" s="187"/>
      <c r="B78" s="168"/>
      <c r="C78" s="188"/>
      <c r="D78" s="189"/>
      <c r="E78" s="189"/>
      <c r="F78" s="189"/>
      <c r="G78" s="189"/>
      <c r="H78" s="189"/>
      <c r="I78" s="189"/>
      <c r="J78" s="190"/>
      <c r="K78" s="190"/>
      <c r="L78" s="189"/>
      <c r="M78" s="189"/>
      <c r="N78" s="189"/>
      <c r="O78" s="190"/>
      <c r="P78" s="190"/>
      <c r="Q78" s="189"/>
      <c r="R78" s="190"/>
      <c r="S78" s="190"/>
      <c r="T78" s="190"/>
      <c r="U78" s="190"/>
      <c r="V78" s="196"/>
    </row>
    <row r="79" spans="1:23">
      <c r="A79" s="191"/>
      <c r="B79" s="192"/>
      <c r="C79" s="193"/>
      <c r="D79" s="194"/>
      <c r="E79" s="194"/>
      <c r="F79" s="194"/>
      <c r="G79" s="194"/>
      <c r="H79" s="194"/>
      <c r="I79" s="194"/>
      <c r="J79" s="195"/>
      <c r="K79" s="195"/>
      <c r="L79" s="194"/>
      <c r="M79" s="194"/>
      <c r="N79" s="194"/>
      <c r="O79" s="195"/>
      <c r="P79" s="195"/>
      <c r="Q79" s="194"/>
      <c r="R79" s="195"/>
      <c r="S79" s="195"/>
      <c r="T79" s="195"/>
      <c r="U79" s="195"/>
      <c r="V79" s="196"/>
    </row>
    <row r="80" spans="1:23">
      <c r="A80" s="191"/>
      <c r="B80" s="197"/>
      <c r="C80" s="198"/>
      <c r="D80" s="199"/>
      <c r="E80" s="199"/>
      <c r="F80" s="199"/>
      <c r="G80" s="199"/>
      <c r="H80" s="199"/>
      <c r="I80" s="199"/>
      <c r="J80" s="202"/>
      <c r="K80" s="202"/>
      <c r="L80" s="199"/>
      <c r="M80" s="199"/>
      <c r="N80" s="199"/>
      <c r="O80" s="202"/>
      <c r="P80" s="202"/>
      <c r="Q80" s="199"/>
      <c r="R80" s="202"/>
      <c r="S80" s="202"/>
      <c r="T80" s="202"/>
      <c r="U80" s="202"/>
      <c r="V80" s="196"/>
    </row>
    <row r="81" spans="1:22">
      <c r="A81" s="191"/>
      <c r="B81" s="168"/>
      <c r="C81" s="188"/>
      <c r="D81" s="189"/>
      <c r="E81" s="189"/>
      <c r="F81" s="189"/>
      <c r="G81" s="189"/>
      <c r="H81" s="189"/>
      <c r="I81" s="189"/>
      <c r="J81" s="190"/>
      <c r="K81" s="190"/>
      <c r="L81" s="189"/>
      <c r="M81" s="189"/>
      <c r="N81" s="189"/>
      <c r="O81" s="190"/>
      <c r="P81" s="190"/>
      <c r="Q81" s="189"/>
      <c r="R81" s="190"/>
      <c r="S81" s="190"/>
      <c r="T81" s="190"/>
      <c r="U81" s="190"/>
      <c r="V81" s="196"/>
    </row>
    <row r="82" spans="1:22">
      <c r="A82" s="191"/>
      <c r="B82" s="192"/>
      <c r="C82" s="193"/>
      <c r="D82" s="194"/>
      <c r="E82" s="194"/>
      <c r="F82" s="194"/>
      <c r="G82" s="194"/>
      <c r="H82" s="194"/>
      <c r="I82" s="194"/>
      <c r="J82" s="195"/>
      <c r="K82" s="195"/>
      <c r="L82" s="194"/>
      <c r="M82" s="194"/>
      <c r="N82" s="194"/>
      <c r="O82" s="195"/>
      <c r="P82" s="195"/>
      <c r="Q82" s="194"/>
      <c r="R82" s="195"/>
      <c r="S82" s="195"/>
      <c r="T82" s="195"/>
      <c r="U82" s="195"/>
      <c r="V82" s="196"/>
    </row>
    <row r="83" spans="1:22">
      <c r="A83" s="191"/>
      <c r="B83" s="197"/>
      <c r="C83" s="198"/>
      <c r="D83" s="199"/>
      <c r="E83" s="199"/>
      <c r="F83" s="199"/>
      <c r="G83" s="199"/>
      <c r="H83" s="199"/>
      <c r="I83" s="199"/>
      <c r="J83" s="202"/>
      <c r="K83" s="202"/>
      <c r="L83" s="199"/>
      <c r="M83" s="199"/>
      <c r="N83" s="199"/>
      <c r="O83" s="202"/>
      <c r="P83" s="202"/>
      <c r="Q83" s="199"/>
      <c r="R83" s="202"/>
      <c r="S83" s="202"/>
      <c r="T83" s="202"/>
      <c r="U83" s="202"/>
      <c r="V83" s="196"/>
    </row>
    <row r="84" spans="1:22">
      <c r="A84" s="191"/>
      <c r="B84" s="168"/>
      <c r="C84" s="188"/>
      <c r="D84" s="189"/>
      <c r="E84" s="189"/>
      <c r="F84" s="189"/>
      <c r="G84" s="189"/>
      <c r="H84" s="189"/>
      <c r="I84" s="189"/>
      <c r="J84" s="190"/>
      <c r="K84" s="190"/>
      <c r="L84" s="189"/>
      <c r="M84" s="189"/>
      <c r="N84" s="189"/>
      <c r="O84" s="190"/>
      <c r="P84" s="190"/>
      <c r="Q84" s="189"/>
      <c r="R84" s="190"/>
      <c r="S84" s="190"/>
      <c r="T84" s="190"/>
      <c r="U84" s="190"/>
      <c r="V84" s="196"/>
    </row>
    <row r="85" spans="1:22">
      <c r="A85" s="191"/>
      <c r="B85" s="192"/>
      <c r="C85" s="193"/>
      <c r="D85" s="194"/>
      <c r="E85" s="194"/>
      <c r="F85" s="194"/>
      <c r="G85" s="194"/>
      <c r="H85" s="194"/>
      <c r="I85" s="194"/>
      <c r="J85" s="195"/>
      <c r="K85" s="195"/>
      <c r="L85" s="194"/>
      <c r="M85" s="194"/>
      <c r="N85" s="194"/>
      <c r="O85" s="195"/>
      <c r="P85" s="195"/>
      <c r="Q85" s="194"/>
      <c r="R85" s="195"/>
      <c r="S85" s="195"/>
      <c r="T85" s="195"/>
      <c r="U85" s="195"/>
      <c r="V85" s="196"/>
    </row>
    <row r="86" spans="1:22">
      <c r="A86" s="191"/>
      <c r="B86" s="197"/>
      <c r="C86" s="198"/>
      <c r="D86" s="199"/>
      <c r="E86" s="199"/>
      <c r="F86" s="199"/>
      <c r="G86" s="199"/>
      <c r="H86" s="199"/>
      <c r="I86" s="199"/>
      <c r="J86" s="202"/>
      <c r="K86" s="202"/>
      <c r="L86" s="199"/>
      <c r="M86" s="199"/>
      <c r="N86" s="199"/>
      <c r="O86" s="202"/>
      <c r="P86" s="202"/>
      <c r="Q86" s="199"/>
      <c r="R86" s="202"/>
      <c r="S86" s="202"/>
      <c r="T86" s="202"/>
      <c r="U86" s="202"/>
      <c r="V86" s="196"/>
    </row>
    <row r="87" spans="1:22">
      <c r="A87" s="191"/>
      <c r="B87" s="168"/>
      <c r="C87" s="188"/>
      <c r="D87" s="189"/>
      <c r="E87" s="189"/>
      <c r="F87" s="189"/>
      <c r="G87" s="189"/>
      <c r="H87" s="189"/>
      <c r="I87" s="189"/>
      <c r="J87" s="190"/>
      <c r="K87" s="190"/>
      <c r="L87" s="189"/>
      <c r="M87" s="189"/>
      <c r="N87" s="189"/>
      <c r="O87" s="190"/>
      <c r="P87" s="190"/>
      <c r="Q87" s="189"/>
      <c r="R87" s="190"/>
      <c r="S87" s="190"/>
      <c r="T87" s="190"/>
      <c r="U87" s="190"/>
      <c r="V87" s="196"/>
    </row>
    <row r="88" spans="1:22">
      <c r="A88" s="191"/>
      <c r="B88" s="192"/>
      <c r="C88" s="193"/>
      <c r="D88" s="194"/>
      <c r="E88" s="194"/>
      <c r="F88" s="194"/>
      <c r="G88" s="194"/>
      <c r="H88" s="194"/>
      <c r="I88" s="194"/>
      <c r="J88" s="195"/>
      <c r="K88" s="195"/>
      <c r="L88" s="194"/>
      <c r="M88" s="194"/>
      <c r="N88" s="194"/>
      <c r="O88" s="195"/>
      <c r="P88" s="195"/>
      <c r="Q88" s="194"/>
      <c r="R88" s="195"/>
      <c r="S88" s="195"/>
      <c r="T88" s="195"/>
      <c r="U88" s="195"/>
      <c r="V88" s="196"/>
    </row>
    <row r="89" spans="1:22">
      <c r="A89" s="191"/>
      <c r="B89" s="197"/>
      <c r="C89" s="198"/>
      <c r="D89" s="199"/>
      <c r="E89" s="199"/>
      <c r="F89" s="199"/>
      <c r="G89" s="199"/>
      <c r="H89" s="199"/>
      <c r="I89" s="199"/>
      <c r="J89" s="202"/>
      <c r="K89" s="202"/>
      <c r="L89" s="199"/>
      <c r="M89" s="199"/>
      <c r="N89" s="199"/>
      <c r="O89" s="202"/>
      <c r="P89" s="202"/>
      <c r="Q89" s="199"/>
      <c r="R89" s="202"/>
      <c r="S89" s="202"/>
      <c r="T89" s="202"/>
      <c r="U89" s="202"/>
      <c r="V89" s="196"/>
    </row>
    <row r="90" spans="1:22">
      <c r="A90" s="191"/>
      <c r="B90" s="168"/>
      <c r="C90" s="188"/>
      <c r="D90" s="189"/>
      <c r="E90" s="189"/>
      <c r="F90" s="189"/>
      <c r="G90" s="189"/>
      <c r="H90" s="189"/>
      <c r="I90" s="189"/>
      <c r="J90" s="190"/>
      <c r="K90" s="190"/>
      <c r="L90" s="189"/>
      <c r="M90" s="189"/>
      <c r="N90" s="189"/>
      <c r="O90" s="190"/>
      <c r="P90" s="190"/>
      <c r="Q90" s="189"/>
      <c r="R90" s="190"/>
      <c r="S90" s="190"/>
      <c r="T90" s="190"/>
      <c r="U90" s="190"/>
      <c r="V90" s="196"/>
    </row>
    <row r="91" spans="1:22">
      <c r="A91" s="191"/>
      <c r="B91" s="192"/>
      <c r="C91" s="193"/>
      <c r="D91" s="194"/>
      <c r="E91" s="194"/>
      <c r="F91" s="194"/>
      <c r="G91" s="194"/>
      <c r="H91" s="194"/>
      <c r="I91" s="194"/>
      <c r="J91" s="195"/>
      <c r="K91" s="195"/>
      <c r="L91" s="194"/>
      <c r="M91" s="194"/>
      <c r="N91" s="194"/>
      <c r="O91" s="195"/>
      <c r="P91" s="195"/>
      <c r="Q91" s="194"/>
      <c r="R91" s="195"/>
      <c r="S91" s="195"/>
      <c r="T91" s="195"/>
      <c r="U91" s="195"/>
      <c r="V91" s="196"/>
    </row>
    <row r="92" spans="1:22">
      <c r="A92" s="191"/>
      <c r="B92" s="197"/>
      <c r="C92" s="198"/>
      <c r="D92" s="199"/>
      <c r="E92" s="199"/>
      <c r="F92" s="199"/>
      <c r="G92" s="199"/>
      <c r="H92" s="199"/>
      <c r="I92" s="199"/>
      <c r="J92" s="202"/>
      <c r="K92" s="202"/>
      <c r="L92" s="199"/>
      <c r="M92" s="199"/>
      <c r="N92" s="199"/>
      <c r="O92" s="202"/>
      <c r="P92" s="202"/>
      <c r="Q92" s="199"/>
      <c r="R92" s="202"/>
      <c r="S92" s="202"/>
      <c r="T92" s="202"/>
      <c r="U92" s="202"/>
      <c r="V92" s="196"/>
    </row>
    <row r="93" spans="1:22">
      <c r="A93" s="191"/>
      <c r="B93" s="168"/>
      <c r="C93" s="188"/>
      <c r="D93" s="189"/>
      <c r="E93" s="189"/>
      <c r="F93" s="189"/>
      <c r="G93" s="189"/>
      <c r="H93" s="189"/>
      <c r="I93" s="189"/>
      <c r="J93" s="190"/>
      <c r="K93" s="190"/>
      <c r="L93" s="189"/>
      <c r="M93" s="189"/>
      <c r="N93" s="189"/>
      <c r="O93" s="190"/>
      <c r="P93" s="190"/>
      <c r="Q93" s="189"/>
      <c r="R93" s="190"/>
      <c r="S93" s="190"/>
      <c r="T93" s="190"/>
      <c r="U93" s="190"/>
      <c r="V93" s="196"/>
    </row>
    <row r="94" spans="1:22">
      <c r="A94" s="191"/>
      <c r="B94" s="192"/>
      <c r="C94" s="193"/>
      <c r="D94" s="194"/>
      <c r="E94" s="194"/>
      <c r="F94" s="194"/>
      <c r="G94" s="194"/>
      <c r="H94" s="194"/>
      <c r="I94" s="194"/>
      <c r="J94" s="195"/>
      <c r="K94" s="195"/>
      <c r="L94" s="194"/>
      <c r="M94" s="194"/>
      <c r="N94" s="194"/>
      <c r="O94" s="195"/>
      <c r="P94" s="195"/>
      <c r="Q94" s="194"/>
      <c r="R94" s="195"/>
      <c r="S94" s="195"/>
      <c r="T94" s="195"/>
      <c r="U94" s="195"/>
      <c r="V94" s="196"/>
    </row>
    <row r="95" spans="1:22" ht="15.75" thickBot="1">
      <c r="A95" s="191"/>
      <c r="B95" s="206"/>
      <c r="C95" s="207"/>
      <c r="D95" s="208"/>
      <c r="E95" s="208"/>
      <c r="F95" s="208"/>
      <c r="G95" s="208"/>
      <c r="H95" s="208"/>
      <c r="I95" s="208"/>
      <c r="J95" s="209"/>
      <c r="K95" s="209"/>
      <c r="L95" s="208"/>
      <c r="M95" s="208"/>
      <c r="N95" s="208"/>
      <c r="O95" s="209"/>
      <c r="P95" s="209"/>
      <c r="Q95" s="208"/>
      <c r="R95" s="209"/>
      <c r="S95" s="209"/>
      <c r="T95" s="209"/>
      <c r="U95" s="209"/>
      <c r="V95" s="196"/>
    </row>
    <row r="96" spans="1:22" ht="15.75" thickTop="1">
      <c r="A96" s="191"/>
      <c r="B96" s="192"/>
      <c r="C96" s="193"/>
      <c r="D96" s="194"/>
      <c r="E96" s="194"/>
      <c r="F96" s="194"/>
      <c r="G96" s="194"/>
      <c r="H96" s="194"/>
      <c r="I96" s="194"/>
      <c r="J96" s="195"/>
      <c r="K96" s="195"/>
      <c r="L96" s="194"/>
      <c r="M96" s="194"/>
      <c r="N96" s="194"/>
      <c r="O96" s="195"/>
      <c r="P96" s="195"/>
      <c r="Q96" s="194"/>
      <c r="R96" s="195"/>
      <c r="S96" s="195"/>
      <c r="T96" s="195"/>
      <c r="U96" s="195"/>
      <c r="V96" s="196"/>
    </row>
    <row r="97" spans="1:22">
      <c r="A97" s="191"/>
      <c r="B97" s="192"/>
      <c r="C97" s="193"/>
      <c r="D97" s="194"/>
      <c r="E97" s="194"/>
      <c r="F97" s="194"/>
      <c r="G97" s="194"/>
      <c r="H97" s="194"/>
      <c r="I97" s="194"/>
      <c r="J97" s="195"/>
      <c r="K97" s="195"/>
      <c r="L97" s="194"/>
      <c r="M97" s="194"/>
      <c r="N97" s="194"/>
      <c r="O97" s="195"/>
      <c r="P97" s="195"/>
      <c r="Q97" s="194"/>
      <c r="R97" s="195"/>
      <c r="S97" s="195"/>
      <c r="T97" s="195"/>
      <c r="U97" s="195"/>
      <c r="V97" s="196"/>
    </row>
    <row r="98" spans="1:22">
      <c r="A98" s="191"/>
      <c r="B98" s="197"/>
      <c r="C98" s="198"/>
      <c r="D98" s="199"/>
      <c r="E98" s="199"/>
      <c r="F98" s="199"/>
      <c r="G98" s="199"/>
      <c r="H98" s="199"/>
      <c r="I98" s="199"/>
      <c r="J98" s="202"/>
      <c r="K98" s="202"/>
      <c r="L98" s="199"/>
      <c r="M98" s="199"/>
      <c r="N98" s="199"/>
      <c r="O98" s="202"/>
      <c r="P98" s="202"/>
      <c r="Q98" s="199"/>
      <c r="R98" s="202"/>
      <c r="S98" s="202"/>
      <c r="T98" s="202"/>
      <c r="U98" s="202"/>
      <c r="V98" s="196"/>
    </row>
    <row r="99" spans="1:22">
      <c r="A99" s="191"/>
      <c r="B99" s="168"/>
      <c r="C99" s="188"/>
      <c r="D99" s="189"/>
      <c r="E99" s="189"/>
      <c r="F99" s="189"/>
      <c r="G99" s="189"/>
      <c r="H99" s="189"/>
      <c r="I99" s="189"/>
      <c r="J99" s="190"/>
      <c r="K99" s="190"/>
      <c r="L99" s="189"/>
      <c r="M99" s="189"/>
      <c r="N99" s="189"/>
      <c r="O99" s="190"/>
      <c r="P99" s="190"/>
      <c r="Q99" s="189"/>
      <c r="R99" s="190"/>
      <c r="S99" s="190"/>
      <c r="T99" s="190"/>
      <c r="U99" s="190"/>
      <c r="V99" s="196"/>
    </row>
    <row r="100" spans="1:22">
      <c r="A100" s="191"/>
      <c r="B100" s="192"/>
      <c r="C100" s="193"/>
      <c r="D100" s="194"/>
      <c r="E100" s="194"/>
      <c r="F100" s="194"/>
      <c r="G100" s="194"/>
      <c r="H100" s="194"/>
      <c r="I100" s="194"/>
      <c r="J100" s="195"/>
      <c r="K100" s="195"/>
      <c r="L100" s="194"/>
      <c r="M100" s="194"/>
      <c r="N100" s="194"/>
      <c r="O100" s="195"/>
      <c r="P100" s="195"/>
      <c r="Q100" s="194"/>
      <c r="R100" s="195"/>
      <c r="S100" s="195"/>
      <c r="T100" s="195"/>
      <c r="U100" s="195"/>
      <c r="V100" s="196"/>
    </row>
    <row r="101" spans="1:22">
      <c r="A101" s="191"/>
      <c r="B101" s="197"/>
      <c r="C101" s="198"/>
      <c r="D101" s="199"/>
      <c r="E101" s="199"/>
      <c r="F101" s="199"/>
      <c r="G101" s="199"/>
      <c r="H101" s="199"/>
      <c r="I101" s="199"/>
      <c r="J101" s="202"/>
      <c r="K101" s="202"/>
      <c r="L101" s="199"/>
      <c r="M101" s="199"/>
      <c r="N101" s="199"/>
      <c r="O101" s="202"/>
      <c r="P101" s="202"/>
      <c r="Q101" s="199"/>
      <c r="R101" s="202"/>
      <c r="S101" s="202"/>
      <c r="T101" s="202"/>
      <c r="U101" s="202"/>
      <c r="V101" s="196"/>
    </row>
    <row r="102" spans="1:22">
      <c r="A102" s="191"/>
      <c r="B102" s="168"/>
      <c r="C102" s="188"/>
      <c r="D102" s="189"/>
      <c r="E102" s="189"/>
      <c r="F102" s="189"/>
      <c r="G102" s="189"/>
      <c r="H102" s="189"/>
      <c r="I102" s="189"/>
      <c r="J102" s="190"/>
      <c r="K102" s="190"/>
      <c r="L102" s="189"/>
      <c r="M102" s="189"/>
      <c r="N102" s="189"/>
      <c r="O102" s="190"/>
      <c r="P102" s="190"/>
      <c r="Q102" s="189"/>
      <c r="R102" s="190"/>
      <c r="S102" s="190"/>
      <c r="T102" s="190"/>
      <c r="U102" s="190"/>
      <c r="V102" s="196"/>
    </row>
    <row r="103" spans="1:22">
      <c r="A103" s="191"/>
      <c r="B103" s="192"/>
      <c r="C103" s="193"/>
      <c r="D103" s="194"/>
      <c r="E103" s="194"/>
      <c r="F103" s="194"/>
      <c r="G103" s="194"/>
      <c r="H103" s="194"/>
      <c r="I103" s="194"/>
      <c r="J103" s="195"/>
      <c r="K103" s="195"/>
      <c r="L103" s="194"/>
      <c r="M103" s="194"/>
      <c r="N103" s="194"/>
      <c r="O103" s="195"/>
      <c r="P103" s="195"/>
      <c r="Q103" s="194"/>
      <c r="R103" s="195"/>
      <c r="S103" s="195"/>
      <c r="T103" s="195"/>
      <c r="U103" s="195"/>
      <c r="V103" s="196"/>
    </row>
    <row r="104" spans="1:22">
      <c r="A104" s="191"/>
      <c r="B104" s="197"/>
      <c r="C104" s="198"/>
      <c r="D104" s="199"/>
      <c r="E104" s="199"/>
      <c r="F104" s="199"/>
      <c r="G104" s="199"/>
      <c r="H104" s="199"/>
      <c r="I104" s="199"/>
      <c r="J104" s="202"/>
      <c r="K104" s="202"/>
      <c r="L104" s="199"/>
      <c r="M104" s="199"/>
      <c r="N104" s="199"/>
      <c r="O104" s="202"/>
      <c r="P104" s="202"/>
      <c r="Q104" s="199"/>
      <c r="R104" s="202"/>
      <c r="S104" s="202"/>
      <c r="T104" s="202"/>
      <c r="U104" s="202"/>
      <c r="V104" s="196"/>
    </row>
    <row r="105" spans="1:22">
      <c r="A105" s="191"/>
      <c r="B105" s="168"/>
      <c r="C105" s="188"/>
      <c r="D105" s="189"/>
      <c r="E105" s="189"/>
      <c r="F105" s="189"/>
      <c r="G105" s="189"/>
      <c r="H105" s="189"/>
      <c r="I105" s="189"/>
      <c r="J105" s="190"/>
      <c r="K105" s="190"/>
      <c r="L105" s="189"/>
      <c r="M105" s="189"/>
      <c r="N105" s="189"/>
      <c r="O105" s="190"/>
      <c r="P105" s="190"/>
      <c r="Q105" s="189"/>
      <c r="R105" s="190"/>
      <c r="S105" s="190"/>
      <c r="T105" s="190"/>
      <c r="U105" s="190"/>
      <c r="V105" s="196"/>
    </row>
    <row r="106" spans="1:22">
      <c r="A106" s="191"/>
      <c r="B106" s="192"/>
      <c r="C106" s="193"/>
      <c r="D106" s="194"/>
      <c r="E106" s="194"/>
      <c r="F106" s="194"/>
      <c r="G106" s="194"/>
      <c r="H106" s="194"/>
      <c r="I106" s="194"/>
      <c r="J106" s="195"/>
      <c r="K106" s="195"/>
      <c r="L106" s="194"/>
      <c r="M106" s="194"/>
      <c r="N106" s="194"/>
      <c r="O106" s="195"/>
      <c r="P106" s="195"/>
      <c r="Q106" s="194"/>
      <c r="R106" s="195"/>
      <c r="S106" s="195"/>
      <c r="T106" s="195"/>
      <c r="U106" s="195"/>
      <c r="V106" s="196"/>
    </row>
    <row r="107" spans="1:22">
      <c r="A107" s="191"/>
      <c r="B107" s="197"/>
      <c r="C107" s="198"/>
      <c r="D107" s="199"/>
      <c r="E107" s="199"/>
      <c r="F107" s="199"/>
      <c r="G107" s="199"/>
      <c r="H107" s="199"/>
      <c r="I107" s="199"/>
      <c r="J107" s="202"/>
      <c r="K107" s="202"/>
      <c r="L107" s="199"/>
      <c r="M107" s="199"/>
      <c r="N107" s="199"/>
      <c r="O107" s="202"/>
      <c r="P107" s="202"/>
      <c r="Q107" s="199"/>
      <c r="R107" s="202"/>
      <c r="S107" s="202"/>
      <c r="T107" s="202"/>
      <c r="U107" s="202"/>
      <c r="V107" s="196"/>
    </row>
    <row r="108" spans="1:22">
      <c r="A108" s="191"/>
      <c r="B108" s="168"/>
      <c r="C108" s="188"/>
      <c r="D108" s="189"/>
      <c r="E108" s="189"/>
      <c r="F108" s="189"/>
      <c r="G108" s="189"/>
      <c r="H108" s="189"/>
      <c r="I108" s="189"/>
      <c r="J108" s="190"/>
      <c r="K108" s="190"/>
      <c r="L108" s="189"/>
      <c r="M108" s="189"/>
      <c r="N108" s="189"/>
      <c r="O108" s="190"/>
      <c r="P108" s="190"/>
      <c r="Q108" s="189"/>
      <c r="R108" s="190"/>
      <c r="S108" s="190"/>
      <c r="T108" s="190"/>
      <c r="U108" s="190"/>
      <c r="V108" s="196"/>
    </row>
    <row r="109" spans="1:22">
      <c r="A109" s="191"/>
      <c r="B109" s="192"/>
      <c r="C109" s="193"/>
      <c r="D109" s="194"/>
      <c r="E109" s="194"/>
      <c r="F109" s="194"/>
      <c r="G109" s="194"/>
      <c r="H109" s="194"/>
      <c r="I109" s="194"/>
      <c r="J109" s="195"/>
      <c r="K109" s="195"/>
      <c r="L109" s="194"/>
      <c r="M109" s="194"/>
      <c r="N109" s="194"/>
      <c r="O109" s="195"/>
      <c r="P109" s="195"/>
      <c r="Q109" s="194"/>
      <c r="R109" s="195"/>
      <c r="S109" s="195"/>
      <c r="T109" s="195"/>
      <c r="U109" s="195"/>
      <c r="V109" s="196"/>
    </row>
    <row r="110" spans="1:22">
      <c r="A110" s="191"/>
      <c r="B110" s="197"/>
      <c r="C110" s="198"/>
      <c r="D110" s="199"/>
      <c r="E110" s="199"/>
      <c r="F110" s="199"/>
      <c r="G110" s="199"/>
      <c r="H110" s="199"/>
      <c r="I110" s="199"/>
      <c r="J110" s="202"/>
      <c r="K110" s="202"/>
      <c r="L110" s="199"/>
      <c r="M110" s="199"/>
      <c r="N110" s="199"/>
      <c r="O110" s="202"/>
      <c r="P110" s="202"/>
      <c r="Q110" s="199"/>
      <c r="R110" s="202"/>
      <c r="S110" s="202"/>
      <c r="T110" s="202"/>
      <c r="U110" s="202"/>
      <c r="V110" s="196"/>
    </row>
    <row r="111" spans="1:22">
      <c r="A111" s="191"/>
      <c r="B111" s="168"/>
      <c r="C111" s="188"/>
      <c r="D111" s="189"/>
      <c r="E111" s="189"/>
      <c r="F111" s="189"/>
      <c r="G111" s="189"/>
      <c r="H111" s="189"/>
      <c r="I111" s="189"/>
      <c r="J111" s="190"/>
      <c r="K111" s="190"/>
      <c r="L111" s="189"/>
      <c r="M111" s="189"/>
      <c r="N111" s="189"/>
      <c r="O111" s="190"/>
      <c r="P111" s="190"/>
      <c r="Q111" s="189"/>
      <c r="R111" s="190"/>
      <c r="S111" s="190"/>
      <c r="T111" s="190"/>
      <c r="U111" s="190"/>
      <c r="V111" s="196"/>
    </row>
    <row r="112" spans="1:22">
      <c r="A112" s="191"/>
      <c r="B112" s="192"/>
      <c r="C112" s="193"/>
      <c r="D112" s="194"/>
      <c r="E112" s="194"/>
      <c r="F112" s="194"/>
      <c r="G112" s="194"/>
      <c r="H112" s="194"/>
      <c r="I112" s="194"/>
      <c r="J112" s="195"/>
      <c r="K112" s="195"/>
      <c r="L112" s="194"/>
      <c r="M112" s="194"/>
      <c r="N112" s="194"/>
      <c r="O112" s="195"/>
      <c r="P112" s="195"/>
      <c r="Q112" s="194"/>
      <c r="R112" s="195"/>
      <c r="S112" s="195"/>
      <c r="T112" s="195"/>
      <c r="U112" s="195"/>
      <c r="V112" s="196"/>
    </row>
    <row r="113" spans="1:22" ht="15.75" thickBot="1">
      <c r="A113" s="210"/>
      <c r="B113" s="211"/>
      <c r="C113" s="212"/>
      <c r="D113" s="213"/>
      <c r="E113" s="213"/>
      <c r="F113" s="213"/>
      <c r="G113" s="213"/>
      <c r="H113" s="213"/>
      <c r="I113" s="213"/>
      <c r="J113" s="214"/>
      <c r="K113" s="214"/>
      <c r="L113" s="213"/>
      <c r="M113" s="213"/>
      <c r="N113" s="213"/>
      <c r="O113" s="214"/>
      <c r="P113" s="214"/>
      <c r="Q113" s="213"/>
      <c r="R113" s="214"/>
      <c r="S113" s="214"/>
      <c r="T113" s="214"/>
      <c r="U113" s="214"/>
      <c r="V113" s="196"/>
    </row>
    <row r="114" spans="1:22">
      <c r="A114" s="187"/>
      <c r="B114" s="168"/>
      <c r="C114" s="188"/>
      <c r="D114" s="189"/>
      <c r="E114" s="189"/>
      <c r="F114" s="189"/>
      <c r="G114" s="189"/>
      <c r="H114" s="189"/>
      <c r="I114" s="189"/>
      <c r="J114" s="190"/>
      <c r="K114" s="190"/>
      <c r="L114" s="189"/>
      <c r="M114" s="189"/>
      <c r="N114" s="189"/>
      <c r="O114" s="190"/>
      <c r="P114" s="190"/>
      <c r="Q114" s="189"/>
      <c r="R114" s="190"/>
      <c r="S114" s="190"/>
      <c r="T114" s="190"/>
      <c r="U114" s="190"/>
      <c r="V114" s="196"/>
    </row>
    <row r="115" spans="1:22">
      <c r="A115" s="191"/>
      <c r="B115" s="192"/>
      <c r="C115" s="193"/>
      <c r="D115" s="194"/>
      <c r="E115" s="194"/>
      <c r="F115" s="194"/>
      <c r="G115" s="194"/>
      <c r="H115" s="194"/>
      <c r="I115" s="194"/>
      <c r="J115" s="195"/>
      <c r="K115" s="195"/>
      <c r="L115" s="194"/>
      <c r="M115" s="194"/>
      <c r="N115" s="194"/>
      <c r="O115" s="195"/>
      <c r="P115" s="195"/>
      <c r="Q115" s="194"/>
      <c r="R115" s="195"/>
      <c r="S115" s="195"/>
      <c r="T115" s="195"/>
      <c r="U115" s="195"/>
      <c r="V115" s="196"/>
    </row>
    <row r="116" spans="1:22">
      <c r="A116" s="191"/>
      <c r="B116" s="197"/>
      <c r="C116" s="198"/>
      <c r="D116" s="199"/>
      <c r="E116" s="199"/>
      <c r="F116" s="199"/>
      <c r="G116" s="199"/>
      <c r="H116" s="199"/>
      <c r="I116" s="199"/>
      <c r="J116" s="202"/>
      <c r="K116" s="202"/>
      <c r="L116" s="199"/>
      <c r="M116" s="199"/>
      <c r="N116" s="199"/>
      <c r="O116" s="202"/>
      <c r="P116" s="202"/>
      <c r="Q116" s="199"/>
      <c r="R116" s="202"/>
      <c r="S116" s="202"/>
      <c r="T116" s="202"/>
      <c r="U116" s="202"/>
      <c r="V116" s="196"/>
    </row>
    <row r="117" spans="1:22">
      <c r="A117" s="191"/>
      <c r="B117" s="168"/>
      <c r="C117" s="188"/>
      <c r="D117" s="189"/>
      <c r="E117" s="189"/>
      <c r="F117" s="189"/>
      <c r="G117" s="189"/>
      <c r="H117" s="189"/>
      <c r="I117" s="189"/>
      <c r="J117" s="190"/>
      <c r="K117" s="190"/>
      <c r="L117" s="189"/>
      <c r="M117" s="189"/>
      <c r="N117" s="189"/>
      <c r="O117" s="190"/>
      <c r="P117" s="190"/>
      <c r="Q117" s="189"/>
      <c r="R117" s="190"/>
      <c r="S117" s="190"/>
      <c r="T117" s="190"/>
      <c r="U117" s="190"/>
      <c r="V117" s="196"/>
    </row>
    <row r="118" spans="1:22">
      <c r="A118" s="191"/>
      <c r="B118" s="192"/>
      <c r="C118" s="193"/>
      <c r="D118" s="194"/>
      <c r="E118" s="194"/>
      <c r="F118" s="203"/>
      <c r="G118" s="194"/>
      <c r="H118" s="194"/>
      <c r="I118" s="194"/>
      <c r="J118" s="195"/>
      <c r="K118" s="195"/>
      <c r="L118" s="194"/>
      <c r="M118" s="194"/>
      <c r="N118" s="194"/>
      <c r="O118" s="195"/>
      <c r="P118" s="195"/>
      <c r="Q118" s="194"/>
      <c r="R118" s="195"/>
      <c r="S118" s="195"/>
      <c r="T118" s="195"/>
      <c r="U118" s="195"/>
      <c r="V118" s="196"/>
    </row>
    <row r="119" spans="1:22">
      <c r="A119" s="191"/>
      <c r="B119" s="197"/>
      <c r="C119" s="198"/>
      <c r="D119" s="199"/>
      <c r="E119" s="199"/>
      <c r="F119" s="201"/>
      <c r="G119" s="199"/>
      <c r="H119" s="199"/>
      <c r="I119" s="199"/>
      <c r="J119" s="202"/>
      <c r="K119" s="202"/>
      <c r="L119" s="199"/>
      <c r="M119" s="199"/>
      <c r="N119" s="199"/>
      <c r="O119" s="202"/>
      <c r="P119" s="202"/>
      <c r="Q119" s="199"/>
      <c r="R119" s="202"/>
      <c r="S119" s="202"/>
      <c r="T119" s="202"/>
      <c r="U119" s="202"/>
      <c r="V119" s="196"/>
    </row>
    <row r="120" spans="1:22">
      <c r="A120" s="191"/>
      <c r="B120" s="168"/>
      <c r="C120" s="188"/>
      <c r="D120" s="189"/>
      <c r="E120" s="189"/>
      <c r="F120" s="189"/>
      <c r="G120" s="189"/>
      <c r="H120" s="189"/>
      <c r="I120" s="189"/>
      <c r="J120" s="190"/>
      <c r="K120" s="190"/>
      <c r="L120" s="189"/>
      <c r="M120" s="189"/>
      <c r="N120" s="189"/>
      <c r="O120" s="190"/>
      <c r="P120" s="190"/>
      <c r="Q120" s="189"/>
      <c r="R120" s="190"/>
      <c r="S120" s="190"/>
      <c r="T120" s="190"/>
      <c r="U120" s="190"/>
      <c r="V120" s="196"/>
    </row>
    <row r="121" spans="1:22">
      <c r="A121" s="191"/>
      <c r="B121" s="192"/>
      <c r="C121" s="193"/>
      <c r="D121" s="194"/>
      <c r="E121" s="194"/>
      <c r="F121" s="194"/>
      <c r="G121" s="194"/>
      <c r="H121" s="194"/>
      <c r="I121" s="194"/>
      <c r="J121" s="195"/>
      <c r="K121" s="195"/>
      <c r="L121" s="194"/>
      <c r="M121" s="194"/>
      <c r="N121" s="194"/>
      <c r="O121" s="195"/>
      <c r="P121" s="195"/>
      <c r="Q121" s="194"/>
      <c r="R121" s="195"/>
      <c r="S121" s="195"/>
      <c r="T121" s="195"/>
      <c r="U121" s="195"/>
      <c r="V121" s="196"/>
    </row>
    <row r="122" spans="1:22">
      <c r="A122" s="191"/>
      <c r="B122" s="197"/>
      <c r="C122" s="198"/>
      <c r="D122" s="199"/>
      <c r="E122" s="199"/>
      <c r="F122" s="201"/>
      <c r="G122" s="199"/>
      <c r="H122" s="199"/>
      <c r="I122" s="199"/>
      <c r="J122" s="202"/>
      <c r="K122" s="202"/>
      <c r="L122" s="199"/>
      <c r="M122" s="199"/>
      <c r="N122" s="199"/>
      <c r="O122" s="202"/>
      <c r="P122" s="202"/>
      <c r="Q122" s="199"/>
      <c r="R122" s="202"/>
      <c r="S122" s="202"/>
      <c r="T122" s="202"/>
      <c r="U122" s="202"/>
      <c r="V122" s="196"/>
    </row>
    <row r="123" spans="1:22">
      <c r="A123" s="191"/>
      <c r="B123" s="168"/>
      <c r="C123" s="188"/>
      <c r="D123" s="189"/>
      <c r="E123" s="189"/>
      <c r="F123" s="189"/>
      <c r="G123" s="189"/>
      <c r="H123" s="189"/>
      <c r="I123" s="189"/>
      <c r="J123" s="190"/>
      <c r="K123" s="190"/>
      <c r="L123" s="189"/>
      <c r="M123" s="189"/>
      <c r="N123" s="189"/>
      <c r="O123" s="190"/>
      <c r="P123" s="190"/>
      <c r="Q123" s="189"/>
      <c r="R123" s="190"/>
      <c r="S123" s="190"/>
      <c r="T123" s="190"/>
      <c r="U123" s="190"/>
      <c r="V123" s="196"/>
    </row>
    <row r="124" spans="1:22">
      <c r="A124" s="191"/>
      <c r="B124" s="192"/>
      <c r="C124" s="193"/>
      <c r="D124" s="194"/>
      <c r="E124" s="203"/>
      <c r="F124" s="194"/>
      <c r="G124" s="194"/>
      <c r="H124" s="194"/>
      <c r="I124" s="194"/>
      <c r="J124" s="195"/>
      <c r="K124" s="195"/>
      <c r="L124" s="194"/>
      <c r="M124" s="194"/>
      <c r="N124" s="194"/>
      <c r="O124" s="195"/>
      <c r="P124" s="195"/>
      <c r="Q124" s="194"/>
      <c r="R124" s="195"/>
      <c r="S124" s="195"/>
      <c r="T124" s="195"/>
      <c r="U124" s="195"/>
      <c r="V124" s="196"/>
    </row>
    <row r="125" spans="1:22">
      <c r="A125" s="191"/>
      <c r="B125" s="197"/>
      <c r="C125" s="198"/>
      <c r="D125" s="199"/>
      <c r="E125" s="201"/>
      <c r="F125" s="199"/>
      <c r="G125" s="199"/>
      <c r="H125" s="199"/>
      <c r="I125" s="199"/>
      <c r="J125" s="202"/>
      <c r="K125" s="202"/>
      <c r="L125" s="199"/>
      <c r="M125" s="199"/>
      <c r="N125" s="199"/>
      <c r="O125" s="202"/>
      <c r="P125" s="202"/>
      <c r="Q125" s="199"/>
      <c r="R125" s="202"/>
      <c r="S125" s="202"/>
      <c r="T125" s="202"/>
      <c r="U125" s="202"/>
      <c r="V125" s="196"/>
    </row>
    <row r="126" spans="1:22">
      <c r="A126" s="191"/>
      <c r="B126" s="168"/>
      <c r="C126" s="188"/>
      <c r="D126" s="189"/>
      <c r="E126" s="189"/>
      <c r="F126" s="189"/>
      <c r="G126" s="189"/>
      <c r="H126" s="189"/>
      <c r="I126" s="189"/>
      <c r="J126" s="190"/>
      <c r="K126" s="190"/>
      <c r="L126" s="189"/>
      <c r="M126" s="189"/>
      <c r="N126" s="189"/>
      <c r="O126" s="190"/>
      <c r="P126" s="190"/>
      <c r="Q126" s="189"/>
      <c r="R126" s="190"/>
      <c r="S126" s="190"/>
      <c r="T126" s="190"/>
      <c r="U126" s="190"/>
      <c r="V126" s="196"/>
    </row>
    <row r="127" spans="1:22">
      <c r="A127" s="191"/>
      <c r="B127" s="192"/>
      <c r="C127" s="193"/>
      <c r="D127" s="194"/>
      <c r="E127" s="194"/>
      <c r="F127" s="194"/>
      <c r="G127" s="194"/>
      <c r="H127" s="194"/>
      <c r="I127" s="194"/>
      <c r="J127" s="195"/>
      <c r="K127" s="195"/>
      <c r="L127" s="194"/>
      <c r="M127" s="194"/>
      <c r="N127" s="194"/>
      <c r="O127" s="195"/>
      <c r="P127" s="195"/>
      <c r="Q127" s="194"/>
      <c r="R127" s="195"/>
      <c r="S127" s="195"/>
      <c r="T127" s="195"/>
      <c r="U127" s="195"/>
      <c r="V127" s="196"/>
    </row>
    <row r="128" spans="1:22">
      <c r="A128" s="191"/>
      <c r="B128" s="197"/>
      <c r="C128" s="198"/>
      <c r="D128" s="199"/>
      <c r="E128" s="199"/>
      <c r="F128" s="199"/>
      <c r="G128" s="199"/>
      <c r="H128" s="199"/>
      <c r="I128" s="199"/>
      <c r="J128" s="202"/>
      <c r="K128" s="202"/>
      <c r="L128" s="199"/>
      <c r="M128" s="199"/>
      <c r="N128" s="199"/>
      <c r="O128" s="202"/>
      <c r="P128" s="202"/>
      <c r="Q128" s="199"/>
      <c r="R128" s="202"/>
      <c r="S128" s="202"/>
      <c r="T128" s="202"/>
      <c r="U128" s="202"/>
      <c r="V128" s="196"/>
    </row>
    <row r="129" spans="1:22">
      <c r="A129" s="191"/>
      <c r="B129" s="168"/>
      <c r="C129" s="188"/>
      <c r="D129" s="189"/>
      <c r="E129" s="189"/>
      <c r="F129" s="189"/>
      <c r="G129" s="189"/>
      <c r="H129" s="189"/>
      <c r="I129" s="189"/>
      <c r="J129" s="190"/>
      <c r="K129" s="190"/>
      <c r="L129" s="189"/>
      <c r="M129" s="189"/>
      <c r="N129" s="189"/>
      <c r="O129" s="190"/>
      <c r="P129" s="190"/>
      <c r="Q129" s="189"/>
      <c r="R129" s="190"/>
      <c r="S129" s="190"/>
      <c r="T129" s="190"/>
      <c r="U129" s="190"/>
      <c r="V129" s="196"/>
    </row>
    <row r="130" spans="1:22">
      <c r="A130" s="191"/>
      <c r="B130" s="192"/>
      <c r="C130" s="193"/>
      <c r="D130" s="194"/>
      <c r="E130" s="194"/>
      <c r="F130" s="194"/>
      <c r="G130" s="194"/>
      <c r="H130" s="194"/>
      <c r="I130" s="194"/>
      <c r="J130" s="195"/>
      <c r="K130" s="195"/>
      <c r="L130" s="194"/>
      <c r="M130" s="194"/>
      <c r="N130" s="194"/>
      <c r="O130" s="195"/>
      <c r="P130" s="195"/>
      <c r="Q130" s="194"/>
      <c r="R130" s="195"/>
      <c r="S130" s="195"/>
      <c r="T130" s="195"/>
      <c r="U130" s="195"/>
      <c r="V130" s="196"/>
    </row>
    <row r="131" spans="1:22" ht="15.75" thickBot="1">
      <c r="A131" s="191"/>
      <c r="B131" s="206"/>
      <c r="C131" s="207"/>
      <c r="D131" s="208"/>
      <c r="E131" s="208"/>
      <c r="F131" s="208"/>
      <c r="G131" s="208"/>
      <c r="H131" s="208"/>
      <c r="I131" s="208"/>
      <c r="J131" s="209"/>
      <c r="K131" s="209"/>
      <c r="L131" s="208"/>
      <c r="M131" s="208"/>
      <c r="N131" s="208"/>
      <c r="O131" s="209"/>
      <c r="P131" s="209"/>
      <c r="Q131" s="208"/>
      <c r="R131" s="209"/>
      <c r="S131" s="209"/>
      <c r="T131" s="209"/>
      <c r="U131" s="209"/>
      <c r="V131" s="196"/>
    </row>
    <row r="132" spans="1:22" ht="15.75" thickTop="1">
      <c r="A132" s="191"/>
      <c r="B132" s="192"/>
      <c r="C132" s="193"/>
      <c r="D132" s="194"/>
      <c r="E132" s="194"/>
      <c r="F132" s="194"/>
      <c r="G132" s="194"/>
      <c r="H132" s="194"/>
      <c r="I132" s="194"/>
      <c r="J132" s="195"/>
      <c r="K132" s="195"/>
      <c r="L132" s="194"/>
      <c r="M132" s="194"/>
      <c r="N132" s="194"/>
      <c r="O132" s="195"/>
      <c r="P132" s="195"/>
      <c r="Q132" s="194"/>
      <c r="R132" s="195"/>
      <c r="S132" s="195"/>
      <c r="T132" s="195"/>
      <c r="U132" s="195"/>
      <c r="V132" s="196"/>
    </row>
    <row r="133" spans="1:22">
      <c r="A133" s="191"/>
      <c r="B133" s="192"/>
      <c r="C133" s="193"/>
      <c r="D133" s="194"/>
      <c r="E133" s="194"/>
      <c r="F133" s="194"/>
      <c r="G133" s="194"/>
      <c r="H133" s="194"/>
      <c r="I133" s="194"/>
      <c r="J133" s="195"/>
      <c r="K133" s="195"/>
      <c r="L133" s="194"/>
      <c r="M133" s="194"/>
      <c r="N133" s="194"/>
      <c r="O133" s="195"/>
      <c r="P133" s="195"/>
      <c r="Q133" s="194"/>
      <c r="R133" s="195"/>
      <c r="S133" s="195"/>
      <c r="T133" s="195"/>
      <c r="U133" s="195"/>
      <c r="V133" s="196"/>
    </row>
    <row r="134" spans="1:22">
      <c r="A134" s="191"/>
      <c r="B134" s="197"/>
      <c r="C134" s="198"/>
      <c r="D134" s="199"/>
      <c r="E134" s="199"/>
      <c r="F134" s="201"/>
      <c r="G134" s="199"/>
      <c r="H134" s="199"/>
      <c r="I134" s="199"/>
      <c r="J134" s="202"/>
      <c r="K134" s="202"/>
      <c r="L134" s="199"/>
      <c r="M134" s="199"/>
      <c r="N134" s="199"/>
      <c r="O134" s="202"/>
      <c r="P134" s="202"/>
      <c r="Q134" s="199"/>
      <c r="R134" s="202"/>
      <c r="S134" s="202"/>
      <c r="T134" s="202"/>
      <c r="U134" s="202"/>
      <c r="V134" s="196"/>
    </row>
    <row r="135" spans="1:22">
      <c r="A135" s="191"/>
      <c r="B135" s="168"/>
      <c r="C135" s="188"/>
      <c r="D135" s="189"/>
      <c r="E135" s="189"/>
      <c r="F135" s="189"/>
      <c r="G135" s="189"/>
      <c r="H135" s="189"/>
      <c r="I135" s="189"/>
      <c r="J135" s="190"/>
      <c r="K135" s="190"/>
      <c r="L135" s="189"/>
      <c r="M135" s="189"/>
      <c r="N135" s="189"/>
      <c r="O135" s="190"/>
      <c r="P135" s="190"/>
      <c r="Q135" s="189"/>
      <c r="R135" s="190"/>
      <c r="S135" s="190"/>
      <c r="T135" s="190"/>
      <c r="U135" s="190"/>
      <c r="V135" s="196"/>
    </row>
    <row r="136" spans="1:22">
      <c r="A136" s="191"/>
      <c r="B136" s="192"/>
      <c r="C136" s="193"/>
      <c r="D136" s="194"/>
      <c r="E136" s="194"/>
      <c r="F136" s="194"/>
      <c r="G136" s="194"/>
      <c r="H136" s="194"/>
      <c r="I136" s="194"/>
      <c r="J136" s="195"/>
      <c r="K136" s="195"/>
      <c r="L136" s="194"/>
      <c r="M136" s="194"/>
      <c r="N136" s="194"/>
      <c r="O136" s="195"/>
      <c r="P136" s="195"/>
      <c r="Q136" s="194"/>
      <c r="R136" s="195"/>
      <c r="S136" s="195"/>
      <c r="T136" s="195"/>
      <c r="U136" s="195"/>
      <c r="V136" s="196"/>
    </row>
    <row r="137" spans="1:22">
      <c r="A137" s="191"/>
      <c r="B137" s="197"/>
      <c r="C137" s="198"/>
      <c r="D137" s="199"/>
      <c r="E137" s="199"/>
      <c r="F137" s="199"/>
      <c r="G137" s="199"/>
      <c r="H137" s="199"/>
      <c r="I137" s="199"/>
      <c r="J137" s="202"/>
      <c r="K137" s="202"/>
      <c r="L137" s="199"/>
      <c r="M137" s="199"/>
      <c r="N137" s="199"/>
      <c r="O137" s="202"/>
      <c r="P137" s="202"/>
      <c r="Q137" s="199"/>
      <c r="R137" s="202"/>
      <c r="S137" s="202"/>
      <c r="T137" s="202"/>
      <c r="U137" s="202"/>
      <c r="V137" s="196"/>
    </row>
    <row r="138" spans="1:22">
      <c r="A138" s="191"/>
      <c r="B138" s="168"/>
      <c r="C138" s="188"/>
      <c r="D138" s="189"/>
      <c r="E138" s="189"/>
      <c r="F138" s="189"/>
      <c r="G138" s="189"/>
      <c r="H138" s="189"/>
      <c r="I138" s="189"/>
      <c r="J138" s="190"/>
      <c r="K138" s="190"/>
      <c r="L138" s="189"/>
      <c r="M138" s="189"/>
      <c r="N138" s="189"/>
      <c r="O138" s="190"/>
      <c r="P138" s="190"/>
      <c r="Q138" s="189"/>
      <c r="R138" s="190"/>
      <c r="S138" s="190"/>
      <c r="T138" s="190"/>
      <c r="U138" s="190"/>
      <c r="V138" s="196"/>
    </row>
    <row r="139" spans="1:22">
      <c r="A139" s="191"/>
      <c r="B139" s="192"/>
      <c r="C139" s="193"/>
      <c r="D139" s="194"/>
      <c r="E139" s="194"/>
      <c r="F139" s="194"/>
      <c r="G139" s="194"/>
      <c r="H139" s="194"/>
      <c r="I139" s="194"/>
      <c r="J139" s="195"/>
      <c r="K139" s="195"/>
      <c r="L139" s="194"/>
      <c r="M139" s="194"/>
      <c r="N139" s="194"/>
      <c r="O139" s="195"/>
      <c r="P139" s="195"/>
      <c r="Q139" s="194"/>
      <c r="R139" s="195"/>
      <c r="S139" s="195"/>
      <c r="T139" s="195"/>
      <c r="U139" s="195"/>
      <c r="V139" s="196"/>
    </row>
    <row r="140" spans="1:22">
      <c r="A140" s="191"/>
      <c r="B140" s="197"/>
      <c r="C140" s="198"/>
      <c r="D140" s="199"/>
      <c r="E140" s="201"/>
      <c r="F140" s="201"/>
      <c r="G140" s="199"/>
      <c r="H140" s="199"/>
      <c r="I140" s="199"/>
      <c r="J140" s="202"/>
      <c r="K140" s="202"/>
      <c r="L140" s="199"/>
      <c r="M140" s="199"/>
      <c r="N140" s="199"/>
      <c r="O140" s="202"/>
      <c r="P140" s="202"/>
      <c r="Q140" s="199"/>
      <c r="R140" s="202"/>
      <c r="S140" s="202"/>
      <c r="T140" s="202"/>
      <c r="U140" s="202"/>
      <c r="V140" s="196"/>
    </row>
    <row r="141" spans="1:22">
      <c r="A141" s="191"/>
      <c r="B141" s="168"/>
      <c r="C141" s="188"/>
      <c r="D141" s="189"/>
      <c r="E141" s="189"/>
      <c r="F141" s="189"/>
      <c r="G141" s="189"/>
      <c r="H141" s="189"/>
      <c r="I141" s="189"/>
      <c r="J141" s="190"/>
      <c r="K141" s="190"/>
      <c r="L141" s="189"/>
      <c r="M141" s="189"/>
      <c r="N141" s="189"/>
      <c r="O141" s="190"/>
      <c r="P141" s="190"/>
      <c r="Q141" s="189"/>
      <c r="R141" s="190"/>
      <c r="S141" s="190"/>
      <c r="T141" s="190"/>
      <c r="U141" s="190"/>
      <c r="V141" s="196"/>
    </row>
    <row r="142" spans="1:22">
      <c r="A142" s="191"/>
      <c r="B142" s="192"/>
      <c r="C142" s="193"/>
      <c r="D142" s="194"/>
      <c r="E142" s="203"/>
      <c r="F142" s="194"/>
      <c r="G142" s="194"/>
      <c r="H142" s="194"/>
      <c r="I142" s="194"/>
      <c r="J142" s="195"/>
      <c r="K142" s="195"/>
      <c r="L142" s="194"/>
      <c r="M142" s="194"/>
      <c r="N142" s="194"/>
      <c r="O142" s="195"/>
      <c r="P142" s="195"/>
      <c r="Q142" s="194"/>
      <c r="R142" s="195"/>
      <c r="S142" s="195"/>
      <c r="T142" s="195"/>
      <c r="U142" s="195"/>
      <c r="V142" s="196"/>
    </row>
    <row r="143" spans="1:22">
      <c r="A143" s="191"/>
      <c r="B143" s="197"/>
      <c r="C143" s="198"/>
      <c r="D143" s="199"/>
      <c r="E143" s="201"/>
      <c r="F143" s="199"/>
      <c r="G143" s="199"/>
      <c r="H143" s="199"/>
      <c r="I143" s="199"/>
      <c r="J143" s="202"/>
      <c r="K143" s="202"/>
      <c r="L143" s="199"/>
      <c r="M143" s="199"/>
      <c r="N143" s="199"/>
      <c r="O143" s="202"/>
      <c r="P143" s="202"/>
      <c r="Q143" s="199"/>
      <c r="R143" s="202"/>
      <c r="S143" s="202"/>
      <c r="T143" s="202"/>
      <c r="U143" s="202"/>
      <c r="V143" s="196"/>
    </row>
    <row r="144" spans="1:22">
      <c r="A144" s="191"/>
      <c r="B144" s="168"/>
      <c r="C144" s="188"/>
      <c r="D144" s="189"/>
      <c r="E144" s="189"/>
      <c r="F144" s="189"/>
      <c r="G144" s="189"/>
      <c r="H144" s="189"/>
      <c r="I144" s="189"/>
      <c r="J144" s="190"/>
      <c r="K144" s="190"/>
      <c r="L144" s="189"/>
      <c r="M144" s="189"/>
      <c r="N144" s="189"/>
      <c r="O144" s="190"/>
      <c r="P144" s="190"/>
      <c r="Q144" s="189"/>
      <c r="R144" s="190"/>
      <c r="S144" s="190"/>
      <c r="T144" s="190"/>
      <c r="U144" s="190"/>
      <c r="V144" s="196"/>
    </row>
    <row r="145" spans="1:22">
      <c r="A145" s="191"/>
      <c r="B145" s="192"/>
      <c r="C145" s="193"/>
      <c r="D145" s="194"/>
      <c r="E145" s="194"/>
      <c r="F145" s="194"/>
      <c r="G145" s="194"/>
      <c r="H145" s="194"/>
      <c r="I145" s="194"/>
      <c r="J145" s="195"/>
      <c r="K145" s="195"/>
      <c r="L145" s="194"/>
      <c r="M145" s="194"/>
      <c r="N145" s="194"/>
      <c r="O145" s="195"/>
      <c r="P145" s="195"/>
      <c r="Q145" s="194"/>
      <c r="R145" s="195"/>
      <c r="S145" s="195"/>
      <c r="T145" s="195"/>
      <c r="U145" s="195"/>
      <c r="V145" s="196"/>
    </row>
    <row r="146" spans="1:22">
      <c r="A146" s="191"/>
      <c r="B146" s="197"/>
      <c r="C146" s="198"/>
      <c r="D146" s="199"/>
      <c r="E146" s="199"/>
      <c r="F146" s="199"/>
      <c r="G146" s="199"/>
      <c r="H146" s="199"/>
      <c r="I146" s="199"/>
      <c r="J146" s="202"/>
      <c r="K146" s="202"/>
      <c r="L146" s="199"/>
      <c r="M146" s="199"/>
      <c r="N146" s="199"/>
      <c r="O146" s="202"/>
      <c r="P146" s="202"/>
      <c r="Q146" s="199"/>
      <c r="R146" s="202"/>
      <c r="S146" s="202"/>
      <c r="T146" s="202"/>
      <c r="U146" s="202"/>
      <c r="V146" s="196"/>
    </row>
    <row r="147" spans="1:22">
      <c r="A147" s="191"/>
      <c r="B147" s="168"/>
      <c r="C147" s="188"/>
      <c r="D147" s="189"/>
      <c r="E147" s="189"/>
      <c r="F147" s="189"/>
      <c r="G147" s="189"/>
      <c r="H147" s="189"/>
      <c r="I147" s="189"/>
      <c r="J147" s="190"/>
      <c r="K147" s="190"/>
      <c r="L147" s="189"/>
      <c r="M147" s="189"/>
      <c r="N147" s="189"/>
      <c r="O147" s="190"/>
      <c r="P147" s="190"/>
      <c r="Q147" s="189"/>
      <c r="R147" s="190"/>
      <c r="S147" s="190"/>
      <c r="T147" s="190"/>
      <c r="U147" s="190"/>
      <c r="V147" s="196"/>
    </row>
    <row r="148" spans="1:22">
      <c r="A148" s="191"/>
      <c r="B148" s="192"/>
      <c r="C148" s="193"/>
      <c r="D148" s="194"/>
      <c r="E148" s="194"/>
      <c r="F148" s="194"/>
      <c r="G148" s="194"/>
      <c r="H148" s="194"/>
      <c r="I148" s="194"/>
      <c r="J148" s="195"/>
      <c r="K148" s="195"/>
      <c r="L148" s="194"/>
      <c r="M148" s="194"/>
      <c r="N148" s="194"/>
      <c r="O148" s="195"/>
      <c r="P148" s="195"/>
      <c r="Q148" s="194"/>
      <c r="R148" s="195"/>
      <c r="S148" s="195"/>
      <c r="T148" s="195"/>
      <c r="U148" s="195"/>
      <c r="V148" s="196"/>
    </row>
    <row r="149" spans="1:22" ht="15.75" thickBot="1">
      <c r="A149" s="210"/>
      <c r="B149" s="211"/>
      <c r="C149" s="212"/>
      <c r="D149" s="213"/>
      <c r="E149" s="213"/>
      <c r="F149" s="213"/>
      <c r="G149" s="213"/>
      <c r="H149" s="213"/>
      <c r="I149" s="213"/>
      <c r="J149" s="214"/>
      <c r="K149" s="214"/>
      <c r="L149" s="213"/>
      <c r="M149" s="213"/>
      <c r="N149" s="213"/>
      <c r="O149" s="214"/>
      <c r="P149" s="214"/>
      <c r="Q149" s="213"/>
      <c r="R149" s="214"/>
      <c r="S149" s="214"/>
      <c r="T149" s="214"/>
      <c r="U149" s="214"/>
      <c r="V149" s="196"/>
    </row>
    <row r="150" spans="1:22">
      <c r="A150" s="187"/>
      <c r="B150" s="168"/>
      <c r="C150" s="188"/>
      <c r="D150" s="189"/>
      <c r="E150" s="189"/>
      <c r="F150" s="189"/>
      <c r="G150" s="189"/>
      <c r="H150" s="189"/>
      <c r="I150" s="189"/>
      <c r="J150" s="190"/>
      <c r="K150" s="190"/>
      <c r="L150" s="189"/>
      <c r="M150" s="189"/>
      <c r="N150" s="189"/>
      <c r="O150" s="190"/>
      <c r="P150" s="190"/>
      <c r="Q150" s="189"/>
      <c r="R150" s="190"/>
      <c r="S150" s="190"/>
      <c r="T150" s="190"/>
      <c r="U150" s="190"/>
      <c r="V150" s="196"/>
    </row>
    <row r="151" spans="1:22">
      <c r="A151" s="191"/>
      <c r="B151" s="192"/>
      <c r="C151" s="193"/>
      <c r="D151" s="194"/>
      <c r="E151" s="194"/>
      <c r="F151" s="194"/>
      <c r="G151" s="194"/>
      <c r="H151" s="194"/>
      <c r="I151" s="194"/>
      <c r="J151" s="195"/>
      <c r="K151" s="195"/>
      <c r="L151" s="194"/>
      <c r="M151" s="194"/>
      <c r="N151" s="194"/>
      <c r="O151" s="195"/>
      <c r="P151" s="195"/>
      <c r="Q151" s="194"/>
      <c r="R151" s="195"/>
      <c r="S151" s="195"/>
      <c r="T151" s="195"/>
      <c r="U151" s="195"/>
      <c r="V151" s="196"/>
    </row>
    <row r="152" spans="1:22">
      <c r="A152" s="191"/>
      <c r="B152" s="197"/>
      <c r="C152" s="198"/>
      <c r="D152" s="199"/>
      <c r="E152" s="199"/>
      <c r="F152" s="199"/>
      <c r="G152" s="199"/>
      <c r="H152" s="199"/>
      <c r="I152" s="199"/>
      <c r="J152" s="202"/>
      <c r="K152" s="202"/>
      <c r="L152" s="199"/>
      <c r="M152" s="199"/>
      <c r="N152" s="199"/>
      <c r="O152" s="202"/>
      <c r="P152" s="202"/>
      <c r="Q152" s="199"/>
      <c r="R152" s="202"/>
      <c r="S152" s="202"/>
      <c r="T152" s="202"/>
      <c r="U152" s="202"/>
      <c r="V152" s="196"/>
    </row>
    <row r="153" spans="1:22">
      <c r="A153" s="191"/>
      <c r="B153" s="168"/>
      <c r="C153" s="188"/>
      <c r="D153" s="189"/>
      <c r="E153" s="189"/>
      <c r="F153" s="189"/>
      <c r="G153" s="189"/>
      <c r="H153" s="189"/>
      <c r="I153" s="189"/>
      <c r="J153" s="190"/>
      <c r="K153" s="190"/>
      <c r="L153" s="189"/>
      <c r="M153" s="189"/>
      <c r="N153" s="189"/>
      <c r="O153" s="190"/>
      <c r="P153" s="190"/>
      <c r="Q153" s="189"/>
      <c r="R153" s="190"/>
      <c r="S153" s="190"/>
      <c r="T153" s="190"/>
      <c r="U153" s="190"/>
      <c r="V153" s="196"/>
    </row>
    <row r="154" spans="1:22">
      <c r="A154" s="191"/>
      <c r="B154" s="192"/>
      <c r="C154" s="193"/>
      <c r="D154" s="194"/>
      <c r="E154" s="194"/>
      <c r="F154" s="194"/>
      <c r="G154" s="194"/>
      <c r="H154" s="194"/>
      <c r="I154" s="194"/>
      <c r="J154" s="195"/>
      <c r="K154" s="195"/>
      <c r="L154" s="194"/>
      <c r="M154" s="194"/>
      <c r="N154" s="194"/>
      <c r="O154" s="195"/>
      <c r="P154" s="195"/>
      <c r="Q154" s="194"/>
      <c r="R154" s="195"/>
      <c r="S154" s="195"/>
      <c r="T154" s="195"/>
      <c r="U154" s="195"/>
      <c r="V154" s="196"/>
    </row>
    <row r="155" spans="1:22">
      <c r="A155" s="191"/>
      <c r="B155" s="197"/>
      <c r="C155" s="198"/>
      <c r="D155" s="199"/>
      <c r="E155" s="199"/>
      <c r="F155" s="199"/>
      <c r="G155" s="199"/>
      <c r="H155" s="199"/>
      <c r="I155" s="199"/>
      <c r="J155" s="202"/>
      <c r="K155" s="202"/>
      <c r="L155" s="199"/>
      <c r="M155" s="199"/>
      <c r="N155" s="199"/>
      <c r="O155" s="202"/>
      <c r="P155" s="202"/>
      <c r="Q155" s="199"/>
      <c r="R155" s="202"/>
      <c r="S155" s="202"/>
      <c r="T155" s="202"/>
      <c r="U155" s="202"/>
      <c r="V155" s="196"/>
    </row>
    <row r="156" spans="1:22">
      <c r="A156" s="191"/>
      <c r="B156" s="168"/>
      <c r="C156" s="188"/>
      <c r="D156" s="189"/>
      <c r="E156" s="189"/>
      <c r="F156" s="189"/>
      <c r="G156" s="189"/>
      <c r="H156" s="189"/>
      <c r="I156" s="189"/>
      <c r="J156" s="190"/>
      <c r="K156" s="190"/>
      <c r="L156" s="189"/>
      <c r="M156" s="189"/>
      <c r="N156" s="189"/>
      <c r="O156" s="190"/>
      <c r="P156" s="190"/>
      <c r="Q156" s="189"/>
      <c r="R156" s="190"/>
      <c r="S156" s="190"/>
      <c r="T156" s="190"/>
      <c r="U156" s="190"/>
      <c r="V156" s="196"/>
    </row>
    <row r="157" spans="1:22">
      <c r="A157" s="191"/>
      <c r="B157" s="192"/>
      <c r="C157" s="193"/>
      <c r="D157" s="194"/>
      <c r="E157" s="194"/>
      <c r="F157" s="194"/>
      <c r="G157" s="194"/>
      <c r="H157" s="194"/>
      <c r="I157" s="194"/>
      <c r="J157" s="195"/>
      <c r="K157" s="195"/>
      <c r="L157" s="194"/>
      <c r="M157" s="194"/>
      <c r="N157" s="194"/>
      <c r="O157" s="195"/>
      <c r="P157" s="195"/>
      <c r="Q157" s="194"/>
      <c r="R157" s="195"/>
      <c r="S157" s="195"/>
      <c r="T157" s="195"/>
      <c r="U157" s="195"/>
      <c r="V157" s="196"/>
    </row>
    <row r="158" spans="1:22">
      <c r="A158" s="191"/>
      <c r="B158" s="197"/>
      <c r="C158" s="198"/>
      <c r="D158" s="199"/>
      <c r="E158" s="199"/>
      <c r="F158" s="199"/>
      <c r="G158" s="199"/>
      <c r="H158" s="199"/>
      <c r="I158" s="199"/>
      <c r="J158" s="202"/>
      <c r="K158" s="217"/>
      <c r="L158" s="201"/>
      <c r="M158" s="199"/>
      <c r="N158" s="199"/>
      <c r="O158" s="202"/>
      <c r="P158" s="202"/>
      <c r="Q158" s="199"/>
      <c r="R158" s="202"/>
      <c r="S158" s="202"/>
      <c r="T158" s="202"/>
      <c r="U158" s="202"/>
      <c r="V158" s="196"/>
    </row>
    <row r="159" spans="1:22">
      <c r="A159" s="191"/>
      <c r="B159" s="168"/>
      <c r="C159" s="188"/>
      <c r="D159" s="189"/>
      <c r="E159" s="189"/>
      <c r="F159" s="189"/>
      <c r="G159" s="189"/>
      <c r="H159" s="189"/>
      <c r="I159" s="189"/>
      <c r="J159" s="190"/>
      <c r="K159" s="190"/>
      <c r="L159" s="189"/>
      <c r="M159" s="189"/>
      <c r="N159" s="189"/>
      <c r="O159" s="190"/>
      <c r="P159" s="190"/>
      <c r="Q159" s="189"/>
      <c r="R159" s="190"/>
      <c r="S159" s="190"/>
      <c r="T159" s="190"/>
      <c r="U159" s="190"/>
      <c r="V159" s="196"/>
    </row>
    <row r="160" spans="1:22">
      <c r="A160" s="191"/>
      <c r="B160" s="192"/>
      <c r="C160" s="193"/>
      <c r="D160" s="194"/>
      <c r="E160" s="194"/>
      <c r="F160" s="194"/>
      <c r="G160" s="194"/>
      <c r="H160" s="203"/>
      <c r="I160" s="194"/>
      <c r="J160" s="195"/>
      <c r="K160" s="195"/>
      <c r="L160" s="194"/>
      <c r="M160" s="203"/>
      <c r="N160" s="194"/>
      <c r="O160" s="195"/>
      <c r="P160" s="195"/>
      <c r="Q160" s="194"/>
      <c r="R160" s="195"/>
      <c r="S160" s="195"/>
      <c r="T160" s="195"/>
      <c r="U160" s="195"/>
      <c r="V160" s="196"/>
    </row>
    <row r="161" spans="1:22">
      <c r="A161" s="191"/>
      <c r="B161" s="197"/>
      <c r="C161" s="198"/>
      <c r="D161" s="199"/>
      <c r="E161" s="199"/>
      <c r="F161" s="199"/>
      <c r="G161" s="199"/>
      <c r="H161" s="199"/>
      <c r="I161" s="199"/>
      <c r="J161" s="202"/>
      <c r="K161" s="202"/>
      <c r="L161" s="199"/>
      <c r="M161" s="201"/>
      <c r="N161" s="199"/>
      <c r="O161" s="202"/>
      <c r="P161" s="202"/>
      <c r="Q161" s="199"/>
      <c r="R161" s="202"/>
      <c r="S161" s="202"/>
      <c r="T161" s="202"/>
      <c r="U161" s="202"/>
      <c r="V161" s="196"/>
    </row>
    <row r="162" spans="1:22">
      <c r="A162" s="191"/>
      <c r="B162" s="168"/>
      <c r="C162" s="188"/>
      <c r="D162" s="189"/>
      <c r="E162" s="189"/>
      <c r="F162" s="189"/>
      <c r="G162" s="189"/>
      <c r="H162" s="189"/>
      <c r="I162" s="189"/>
      <c r="J162" s="190"/>
      <c r="K162" s="190"/>
      <c r="L162" s="189"/>
      <c r="M162" s="189"/>
      <c r="N162" s="189"/>
      <c r="O162" s="190"/>
      <c r="P162" s="190"/>
      <c r="Q162" s="189"/>
      <c r="R162" s="190"/>
      <c r="S162" s="190"/>
      <c r="T162" s="190"/>
      <c r="U162" s="190"/>
      <c r="V162" s="196"/>
    </row>
    <row r="163" spans="1:22">
      <c r="A163" s="191"/>
      <c r="B163" s="192"/>
      <c r="C163" s="193"/>
      <c r="D163" s="194"/>
      <c r="E163" s="194"/>
      <c r="F163" s="194"/>
      <c r="G163" s="194"/>
      <c r="H163" s="194"/>
      <c r="I163" s="194"/>
      <c r="J163" s="195"/>
      <c r="K163" s="195"/>
      <c r="L163" s="203"/>
      <c r="M163" s="194"/>
      <c r="N163" s="194"/>
      <c r="O163" s="195"/>
      <c r="P163" s="195"/>
      <c r="Q163" s="194"/>
      <c r="R163" s="195"/>
      <c r="S163" s="195"/>
      <c r="T163" s="195"/>
      <c r="U163" s="195"/>
      <c r="V163" s="196"/>
    </row>
    <row r="164" spans="1:22">
      <c r="A164" s="191"/>
      <c r="B164" s="197"/>
      <c r="C164" s="198"/>
      <c r="D164" s="199"/>
      <c r="E164" s="199"/>
      <c r="F164" s="199"/>
      <c r="G164" s="199"/>
      <c r="H164" s="199"/>
      <c r="I164" s="199"/>
      <c r="J164" s="202"/>
      <c r="K164" s="202"/>
      <c r="L164" s="201"/>
      <c r="M164" s="199"/>
      <c r="N164" s="199"/>
      <c r="O164" s="202"/>
      <c r="P164" s="202"/>
      <c r="Q164" s="199"/>
      <c r="R164" s="202"/>
      <c r="S164" s="202"/>
      <c r="T164" s="202"/>
      <c r="U164" s="202"/>
      <c r="V164" s="196"/>
    </row>
    <row r="165" spans="1:22">
      <c r="A165" s="191"/>
      <c r="B165" s="168"/>
      <c r="C165" s="188"/>
      <c r="D165" s="189"/>
      <c r="E165" s="189"/>
      <c r="F165" s="189"/>
      <c r="G165" s="189"/>
      <c r="H165" s="189"/>
      <c r="I165" s="189"/>
      <c r="J165" s="190"/>
      <c r="K165" s="190"/>
      <c r="L165" s="189"/>
      <c r="M165" s="189"/>
      <c r="N165" s="189"/>
      <c r="O165" s="190"/>
      <c r="P165" s="190"/>
      <c r="Q165" s="189"/>
      <c r="R165" s="190"/>
      <c r="S165" s="190"/>
      <c r="T165" s="190"/>
      <c r="U165" s="190"/>
      <c r="V165" s="196"/>
    </row>
    <row r="166" spans="1:22">
      <c r="A166" s="191"/>
      <c r="B166" s="192"/>
      <c r="C166" s="193"/>
      <c r="D166" s="194"/>
      <c r="E166" s="194"/>
      <c r="F166" s="194"/>
      <c r="G166" s="194"/>
      <c r="H166" s="194"/>
      <c r="I166" s="194"/>
      <c r="J166" s="195"/>
      <c r="K166" s="195"/>
      <c r="L166" s="194"/>
      <c r="M166" s="194"/>
      <c r="N166" s="194"/>
      <c r="O166" s="195"/>
      <c r="P166" s="195"/>
      <c r="Q166" s="194"/>
      <c r="R166" s="195"/>
      <c r="S166" s="195"/>
      <c r="T166" s="195"/>
      <c r="U166" s="195"/>
      <c r="V166" s="196"/>
    </row>
    <row r="167" spans="1:22" ht="15.75" thickBot="1">
      <c r="A167" s="191"/>
      <c r="B167" s="206"/>
      <c r="C167" s="207"/>
      <c r="D167" s="208"/>
      <c r="E167" s="208"/>
      <c r="F167" s="208"/>
      <c r="G167" s="208"/>
      <c r="H167" s="208"/>
      <c r="I167" s="208"/>
      <c r="J167" s="209"/>
      <c r="K167" s="209"/>
      <c r="L167" s="208"/>
      <c r="M167" s="208"/>
      <c r="N167" s="208"/>
      <c r="O167" s="209"/>
      <c r="P167" s="209"/>
      <c r="Q167" s="208"/>
      <c r="R167" s="209"/>
      <c r="S167" s="209"/>
      <c r="T167" s="209"/>
      <c r="U167" s="209"/>
      <c r="V167" s="196"/>
    </row>
    <row r="168" spans="1:22" ht="15.75" thickTop="1">
      <c r="A168" s="191"/>
      <c r="B168" s="192"/>
      <c r="C168" s="193"/>
      <c r="D168" s="194"/>
      <c r="E168" s="194"/>
      <c r="F168" s="194"/>
      <c r="G168" s="194"/>
      <c r="H168" s="194"/>
      <c r="I168" s="194"/>
      <c r="J168" s="195"/>
      <c r="K168" s="195"/>
      <c r="L168" s="194"/>
      <c r="M168" s="194"/>
      <c r="N168" s="194"/>
      <c r="O168" s="195"/>
      <c r="P168" s="195"/>
      <c r="Q168" s="194"/>
      <c r="R168" s="195"/>
      <c r="S168" s="195"/>
      <c r="T168" s="195"/>
      <c r="U168" s="195"/>
      <c r="V168" s="196"/>
    </row>
    <row r="169" spans="1:22">
      <c r="A169" s="191"/>
      <c r="B169" s="192"/>
      <c r="C169" s="193"/>
      <c r="D169" s="194"/>
      <c r="E169" s="194"/>
      <c r="F169" s="194"/>
      <c r="G169" s="194"/>
      <c r="H169" s="194"/>
      <c r="I169" s="194"/>
      <c r="J169" s="195"/>
      <c r="K169" s="195"/>
      <c r="L169" s="194"/>
      <c r="M169" s="194"/>
      <c r="N169" s="194"/>
      <c r="O169" s="195"/>
      <c r="P169" s="195"/>
      <c r="Q169" s="194"/>
      <c r="R169" s="195"/>
      <c r="S169" s="195"/>
      <c r="T169" s="195"/>
      <c r="U169" s="195"/>
      <c r="V169" s="196"/>
    </row>
    <row r="170" spans="1:22">
      <c r="A170" s="191"/>
      <c r="B170" s="197"/>
      <c r="C170" s="198"/>
      <c r="D170" s="201"/>
      <c r="E170" s="199"/>
      <c r="F170" s="199"/>
      <c r="G170" s="199"/>
      <c r="H170" s="199"/>
      <c r="I170" s="199"/>
      <c r="J170" s="202"/>
      <c r="K170" s="202"/>
      <c r="L170" s="199"/>
      <c r="M170" s="199"/>
      <c r="N170" s="199"/>
      <c r="O170" s="202"/>
      <c r="P170" s="202"/>
      <c r="Q170" s="199"/>
      <c r="R170" s="202"/>
      <c r="S170" s="202"/>
      <c r="T170" s="202"/>
      <c r="U170" s="202"/>
      <c r="V170" s="196"/>
    </row>
    <row r="171" spans="1:22">
      <c r="A171" s="191"/>
      <c r="B171" s="168"/>
      <c r="C171" s="188"/>
      <c r="D171" s="189"/>
      <c r="E171" s="189"/>
      <c r="F171" s="189"/>
      <c r="G171" s="189"/>
      <c r="H171" s="189"/>
      <c r="I171" s="189"/>
      <c r="J171" s="190"/>
      <c r="K171" s="190"/>
      <c r="L171" s="189"/>
      <c r="M171" s="189"/>
      <c r="N171" s="189"/>
      <c r="O171" s="190"/>
      <c r="P171" s="190"/>
      <c r="Q171" s="189"/>
      <c r="R171" s="190"/>
      <c r="S171" s="190"/>
      <c r="T171" s="190"/>
      <c r="U171" s="190"/>
      <c r="V171" s="196"/>
    </row>
    <row r="172" spans="1:22">
      <c r="A172" s="191"/>
      <c r="B172" s="192"/>
      <c r="C172" s="193"/>
      <c r="D172" s="194"/>
      <c r="E172" s="194"/>
      <c r="F172" s="194"/>
      <c r="G172" s="194"/>
      <c r="H172" s="194"/>
      <c r="I172" s="194"/>
      <c r="J172" s="195"/>
      <c r="K172" s="195"/>
      <c r="L172" s="194"/>
      <c r="M172" s="194"/>
      <c r="N172" s="194"/>
      <c r="O172" s="195"/>
      <c r="P172" s="195"/>
      <c r="Q172" s="194"/>
      <c r="R172" s="195"/>
      <c r="S172" s="195"/>
      <c r="T172" s="195"/>
      <c r="U172" s="195"/>
      <c r="V172" s="196"/>
    </row>
    <row r="173" spans="1:22">
      <c r="A173" s="191"/>
      <c r="B173" s="197"/>
      <c r="C173" s="198"/>
      <c r="D173" s="199"/>
      <c r="E173" s="199"/>
      <c r="F173" s="199"/>
      <c r="G173" s="201"/>
      <c r="H173" s="199"/>
      <c r="I173" s="199"/>
      <c r="J173" s="202"/>
      <c r="K173" s="202"/>
      <c r="L173" s="199"/>
      <c r="M173" s="199"/>
      <c r="N173" s="199"/>
      <c r="O173" s="202"/>
      <c r="P173" s="202"/>
      <c r="Q173" s="199"/>
      <c r="R173" s="202"/>
      <c r="S173" s="202"/>
      <c r="T173" s="202"/>
      <c r="U173" s="202"/>
      <c r="V173" s="196"/>
    </row>
    <row r="174" spans="1:22">
      <c r="A174" s="191"/>
      <c r="B174" s="168"/>
      <c r="C174" s="188"/>
      <c r="D174" s="189"/>
      <c r="E174" s="189"/>
      <c r="F174" s="189"/>
      <c r="G174" s="189"/>
      <c r="H174" s="189"/>
      <c r="I174" s="189"/>
      <c r="J174" s="190"/>
      <c r="K174" s="190"/>
      <c r="L174" s="189"/>
      <c r="M174" s="189"/>
      <c r="N174" s="189"/>
      <c r="O174" s="190"/>
      <c r="P174" s="190"/>
      <c r="Q174" s="189"/>
      <c r="R174" s="190"/>
      <c r="S174" s="190"/>
      <c r="T174" s="190"/>
      <c r="U174" s="190"/>
      <c r="V174" s="196"/>
    </row>
    <row r="175" spans="1:22">
      <c r="A175" s="191"/>
      <c r="B175" s="192"/>
      <c r="C175" s="193"/>
      <c r="D175" s="194"/>
      <c r="E175" s="194"/>
      <c r="F175" s="194"/>
      <c r="G175" s="194"/>
      <c r="H175" s="194"/>
      <c r="I175" s="194"/>
      <c r="J175" s="195"/>
      <c r="K175" s="195"/>
      <c r="L175" s="194"/>
      <c r="M175" s="194"/>
      <c r="N175" s="194"/>
      <c r="O175" s="195"/>
      <c r="P175" s="195"/>
      <c r="Q175" s="194"/>
      <c r="R175" s="195"/>
      <c r="S175" s="195"/>
      <c r="T175" s="195"/>
      <c r="U175" s="195"/>
      <c r="V175" s="196"/>
    </row>
    <row r="176" spans="1:22">
      <c r="A176" s="191"/>
      <c r="B176" s="197"/>
      <c r="C176" s="198"/>
      <c r="D176" s="201"/>
      <c r="E176" s="199"/>
      <c r="F176" s="199"/>
      <c r="G176" s="201"/>
      <c r="H176" s="199"/>
      <c r="I176" s="199"/>
      <c r="J176" s="202"/>
      <c r="K176" s="202"/>
      <c r="L176" s="199"/>
      <c r="M176" s="199"/>
      <c r="N176" s="199"/>
      <c r="O176" s="202"/>
      <c r="P176" s="202"/>
      <c r="Q176" s="199"/>
      <c r="R176" s="202"/>
      <c r="S176" s="202"/>
      <c r="T176" s="202"/>
      <c r="U176" s="202"/>
      <c r="V176" s="196"/>
    </row>
    <row r="177" spans="1:22">
      <c r="A177" s="191"/>
      <c r="B177" s="168"/>
      <c r="C177" s="188"/>
      <c r="D177" s="189"/>
      <c r="E177" s="189"/>
      <c r="F177" s="189"/>
      <c r="G177" s="189"/>
      <c r="H177" s="189"/>
      <c r="I177" s="189"/>
      <c r="J177" s="190"/>
      <c r="K177" s="190"/>
      <c r="L177" s="189"/>
      <c r="M177" s="189"/>
      <c r="N177" s="189"/>
      <c r="O177" s="190"/>
      <c r="P177" s="190"/>
      <c r="Q177" s="189"/>
      <c r="R177" s="190"/>
      <c r="S177" s="190"/>
      <c r="T177" s="190"/>
      <c r="U177" s="190"/>
      <c r="V177" s="196"/>
    </row>
    <row r="178" spans="1:22">
      <c r="A178" s="191"/>
      <c r="B178" s="192"/>
      <c r="C178" s="193"/>
      <c r="D178" s="194"/>
      <c r="E178" s="194"/>
      <c r="F178" s="194"/>
      <c r="G178" s="194"/>
      <c r="H178" s="194"/>
      <c r="I178" s="194"/>
      <c r="J178" s="195"/>
      <c r="K178" s="195"/>
      <c r="L178" s="194"/>
      <c r="M178" s="194"/>
      <c r="N178" s="194"/>
      <c r="O178" s="195"/>
      <c r="P178" s="195"/>
      <c r="Q178" s="194"/>
      <c r="R178" s="195"/>
      <c r="S178" s="195"/>
      <c r="T178" s="195"/>
      <c r="U178" s="195"/>
      <c r="V178" s="196"/>
    </row>
    <row r="179" spans="1:22">
      <c r="A179" s="191"/>
      <c r="B179" s="197"/>
      <c r="C179" s="198"/>
      <c r="D179" s="199"/>
      <c r="E179" s="199"/>
      <c r="F179" s="199"/>
      <c r="G179" s="199"/>
      <c r="H179" s="199"/>
      <c r="I179" s="199"/>
      <c r="J179" s="202"/>
      <c r="K179" s="202"/>
      <c r="L179" s="199"/>
      <c r="M179" s="199"/>
      <c r="N179" s="199"/>
      <c r="O179" s="202"/>
      <c r="P179" s="202"/>
      <c r="Q179" s="199"/>
      <c r="R179" s="202"/>
      <c r="S179" s="202"/>
      <c r="T179" s="202"/>
      <c r="U179" s="202"/>
      <c r="V179" s="196"/>
    </row>
    <row r="180" spans="1:22">
      <c r="A180" s="191"/>
      <c r="B180" s="168"/>
      <c r="C180" s="188"/>
      <c r="D180" s="189"/>
      <c r="E180" s="189"/>
      <c r="F180" s="189"/>
      <c r="G180" s="189"/>
      <c r="H180" s="189"/>
      <c r="I180" s="189"/>
      <c r="J180" s="190"/>
      <c r="K180" s="190"/>
      <c r="L180" s="189"/>
      <c r="M180" s="189"/>
      <c r="N180" s="189"/>
      <c r="O180" s="190"/>
      <c r="P180" s="190"/>
      <c r="Q180" s="189"/>
      <c r="R180" s="190"/>
      <c r="S180" s="190"/>
      <c r="T180" s="190"/>
      <c r="U180" s="190"/>
      <c r="V180" s="196"/>
    </row>
    <row r="181" spans="1:22">
      <c r="A181" s="191"/>
      <c r="B181" s="192"/>
      <c r="C181" s="193"/>
      <c r="D181" s="194"/>
      <c r="E181" s="194"/>
      <c r="F181" s="194"/>
      <c r="G181" s="194"/>
      <c r="H181" s="194"/>
      <c r="I181" s="194"/>
      <c r="J181" s="195"/>
      <c r="K181" s="195"/>
      <c r="L181" s="194"/>
      <c r="M181" s="194"/>
      <c r="N181" s="194"/>
      <c r="O181" s="195"/>
      <c r="P181" s="195"/>
      <c r="Q181" s="194"/>
      <c r="R181" s="195"/>
      <c r="S181" s="195"/>
      <c r="T181" s="195"/>
      <c r="U181" s="195"/>
      <c r="V181" s="196"/>
    </row>
    <row r="182" spans="1:22">
      <c r="A182" s="191"/>
      <c r="B182" s="197"/>
      <c r="C182" s="198"/>
      <c r="D182" s="199"/>
      <c r="E182" s="199"/>
      <c r="F182" s="199"/>
      <c r="G182" s="199"/>
      <c r="H182" s="199"/>
      <c r="I182" s="199"/>
      <c r="J182" s="202"/>
      <c r="K182" s="202"/>
      <c r="L182" s="199"/>
      <c r="M182" s="199"/>
      <c r="N182" s="199"/>
      <c r="O182" s="202"/>
      <c r="P182" s="202"/>
      <c r="Q182" s="199"/>
      <c r="R182" s="202"/>
      <c r="S182" s="202"/>
      <c r="T182" s="202"/>
      <c r="U182" s="202"/>
      <c r="V182" s="196"/>
    </row>
    <row r="183" spans="1:22">
      <c r="A183" s="191"/>
      <c r="B183" s="168"/>
      <c r="C183" s="188"/>
      <c r="D183" s="189"/>
      <c r="E183" s="189"/>
      <c r="F183" s="189"/>
      <c r="G183" s="189"/>
      <c r="H183" s="189"/>
      <c r="I183" s="189"/>
      <c r="J183" s="190"/>
      <c r="K183" s="190"/>
      <c r="L183" s="189"/>
      <c r="M183" s="189"/>
      <c r="N183" s="189"/>
      <c r="O183" s="190"/>
      <c r="P183" s="190"/>
      <c r="Q183" s="189"/>
      <c r="R183" s="190"/>
      <c r="S183" s="190"/>
      <c r="T183" s="190"/>
      <c r="U183" s="190"/>
      <c r="V183" s="196"/>
    </row>
    <row r="184" spans="1:22">
      <c r="A184" s="191"/>
      <c r="B184" s="192"/>
      <c r="C184" s="193"/>
      <c r="D184" s="194"/>
      <c r="E184" s="194"/>
      <c r="F184" s="194"/>
      <c r="G184" s="194"/>
      <c r="H184" s="194"/>
      <c r="I184" s="194"/>
      <c r="J184" s="195"/>
      <c r="K184" s="195"/>
      <c r="L184" s="194"/>
      <c r="M184" s="194"/>
      <c r="N184" s="194"/>
      <c r="O184" s="195"/>
      <c r="P184" s="195"/>
      <c r="Q184" s="194"/>
      <c r="R184" s="195"/>
      <c r="S184" s="195"/>
      <c r="T184" s="195"/>
      <c r="U184" s="195"/>
      <c r="V184" s="196"/>
    </row>
    <row r="185" spans="1:22" ht="15.75" thickBot="1">
      <c r="A185" s="210"/>
      <c r="B185" s="211"/>
      <c r="C185" s="212"/>
      <c r="D185" s="213"/>
      <c r="E185" s="213"/>
      <c r="F185" s="213"/>
      <c r="G185" s="213"/>
      <c r="H185" s="213"/>
      <c r="I185" s="213"/>
      <c r="J185" s="214"/>
      <c r="K185" s="214"/>
      <c r="L185" s="213"/>
      <c r="M185" s="213"/>
      <c r="N185" s="213"/>
      <c r="O185" s="214"/>
      <c r="P185" s="214"/>
      <c r="Q185" s="213"/>
      <c r="R185" s="214"/>
      <c r="S185" s="214"/>
      <c r="T185" s="214"/>
      <c r="U185" s="214"/>
      <c r="V185" s="196"/>
    </row>
    <row r="186" spans="1:22">
      <c r="A186" s="187"/>
      <c r="B186" s="168"/>
      <c r="C186" s="188"/>
      <c r="D186" s="189"/>
      <c r="E186" s="189"/>
      <c r="F186" s="189"/>
      <c r="G186" s="189"/>
      <c r="H186" s="189"/>
      <c r="I186" s="189"/>
      <c r="J186" s="190"/>
      <c r="K186" s="190"/>
      <c r="L186" s="189"/>
      <c r="M186" s="189"/>
      <c r="N186" s="189"/>
      <c r="O186" s="190"/>
      <c r="P186" s="190"/>
      <c r="Q186" s="189"/>
      <c r="R186" s="190"/>
      <c r="S186" s="190"/>
      <c r="T186" s="190"/>
      <c r="U186" s="190"/>
      <c r="V186" s="196"/>
    </row>
    <row r="187" spans="1:22">
      <c r="A187" s="191"/>
      <c r="B187" s="192"/>
      <c r="C187" s="193"/>
      <c r="D187" s="194"/>
      <c r="E187" s="194"/>
      <c r="F187" s="194"/>
      <c r="G187" s="194"/>
      <c r="H187" s="194"/>
      <c r="I187" s="194"/>
      <c r="J187" s="195"/>
      <c r="K187" s="195"/>
      <c r="L187" s="194"/>
      <c r="M187" s="194"/>
      <c r="N187" s="194"/>
      <c r="O187" s="195"/>
      <c r="P187" s="195"/>
      <c r="Q187" s="194"/>
      <c r="R187" s="195"/>
      <c r="S187" s="195"/>
      <c r="T187" s="195"/>
      <c r="U187" s="195"/>
      <c r="V187" s="196"/>
    </row>
    <row r="188" spans="1:22">
      <c r="A188" s="191"/>
      <c r="B188" s="197"/>
      <c r="C188" s="198"/>
      <c r="D188" s="199"/>
      <c r="E188" s="199"/>
      <c r="F188" s="199"/>
      <c r="G188" s="199"/>
      <c r="H188" s="199"/>
      <c r="I188" s="199"/>
      <c r="J188" s="202"/>
      <c r="K188" s="202"/>
      <c r="L188" s="201"/>
      <c r="M188" s="201"/>
      <c r="N188" s="201"/>
      <c r="O188" s="202"/>
      <c r="P188" s="217"/>
      <c r="Q188" s="199"/>
      <c r="R188" s="202"/>
      <c r="S188" s="202"/>
      <c r="T188" s="202"/>
      <c r="U188" s="202"/>
      <c r="V188" s="196"/>
    </row>
    <row r="189" spans="1:22">
      <c r="A189" s="191"/>
      <c r="B189" s="168"/>
      <c r="C189" s="188"/>
      <c r="D189" s="189"/>
      <c r="E189" s="189"/>
      <c r="F189" s="189"/>
      <c r="G189" s="189"/>
      <c r="H189" s="189"/>
      <c r="I189" s="189"/>
      <c r="J189" s="190"/>
      <c r="K189" s="190"/>
      <c r="L189" s="189"/>
      <c r="M189" s="189"/>
      <c r="N189" s="189"/>
      <c r="O189" s="190"/>
      <c r="P189" s="190"/>
      <c r="Q189" s="189"/>
      <c r="R189" s="190"/>
      <c r="S189" s="190"/>
      <c r="T189" s="190"/>
      <c r="U189" s="190"/>
      <c r="V189" s="196"/>
    </row>
    <row r="190" spans="1:22">
      <c r="A190" s="191"/>
      <c r="B190" s="192"/>
      <c r="C190" s="193"/>
      <c r="D190" s="194"/>
      <c r="E190" s="194"/>
      <c r="F190" s="194"/>
      <c r="G190" s="194"/>
      <c r="H190" s="194"/>
      <c r="I190" s="194"/>
      <c r="J190" s="195"/>
      <c r="K190" s="195"/>
      <c r="L190" s="194"/>
      <c r="M190" s="194"/>
      <c r="N190" s="194"/>
      <c r="O190" s="195"/>
      <c r="P190" s="195"/>
      <c r="Q190" s="194"/>
      <c r="R190" s="195"/>
      <c r="S190" s="195"/>
      <c r="T190" s="195"/>
      <c r="U190" s="195"/>
      <c r="V190" s="196"/>
    </row>
    <row r="191" spans="1:22">
      <c r="A191" s="191"/>
      <c r="B191" s="197"/>
      <c r="C191" s="198"/>
      <c r="D191" s="199"/>
      <c r="E191" s="199"/>
      <c r="F191" s="199"/>
      <c r="G191" s="199"/>
      <c r="H191" s="199"/>
      <c r="I191" s="199"/>
      <c r="J191" s="202"/>
      <c r="K191" s="202"/>
      <c r="L191" s="201"/>
      <c r="M191" s="201"/>
      <c r="N191" s="201"/>
      <c r="O191" s="202"/>
      <c r="P191" s="217"/>
      <c r="Q191" s="199"/>
      <c r="R191" s="202"/>
      <c r="S191" s="202"/>
      <c r="T191" s="202"/>
      <c r="U191" s="202"/>
      <c r="V191" s="196"/>
    </row>
    <row r="192" spans="1:22">
      <c r="A192" s="191"/>
      <c r="B192" s="168"/>
      <c r="C192" s="188"/>
      <c r="D192" s="189"/>
      <c r="E192" s="189"/>
      <c r="F192" s="189"/>
      <c r="G192" s="189"/>
      <c r="H192" s="189"/>
      <c r="I192" s="189"/>
      <c r="J192" s="190"/>
      <c r="K192" s="190"/>
      <c r="L192" s="189"/>
      <c r="M192" s="189"/>
      <c r="N192" s="189"/>
      <c r="O192" s="190"/>
      <c r="P192" s="190"/>
      <c r="Q192" s="189"/>
      <c r="R192" s="190"/>
      <c r="S192" s="190"/>
      <c r="T192" s="190"/>
      <c r="U192" s="190"/>
      <c r="V192" s="196"/>
    </row>
    <row r="193" spans="1:22">
      <c r="A193" s="191"/>
      <c r="B193" s="192"/>
      <c r="C193" s="193"/>
      <c r="D193" s="194"/>
      <c r="E193" s="194"/>
      <c r="F193" s="194"/>
      <c r="G193" s="194"/>
      <c r="H193" s="194"/>
      <c r="I193" s="194"/>
      <c r="J193" s="195"/>
      <c r="K193" s="195"/>
      <c r="L193" s="194"/>
      <c r="M193" s="194"/>
      <c r="N193" s="194"/>
      <c r="O193" s="195"/>
      <c r="P193" s="195"/>
      <c r="Q193" s="194"/>
      <c r="R193" s="195"/>
      <c r="S193" s="195"/>
      <c r="T193" s="195"/>
      <c r="U193" s="195"/>
      <c r="V193" s="196"/>
    </row>
    <row r="194" spans="1:22">
      <c r="A194" s="191"/>
      <c r="B194" s="197"/>
      <c r="C194" s="198"/>
      <c r="D194" s="199"/>
      <c r="E194" s="199"/>
      <c r="F194" s="199"/>
      <c r="G194" s="199"/>
      <c r="H194" s="199"/>
      <c r="I194" s="199"/>
      <c r="J194" s="202"/>
      <c r="K194" s="202"/>
      <c r="L194" s="201"/>
      <c r="M194" s="201"/>
      <c r="N194" s="201"/>
      <c r="O194" s="202"/>
      <c r="P194" s="217"/>
      <c r="Q194" s="199"/>
      <c r="R194" s="202"/>
      <c r="S194" s="202"/>
      <c r="T194" s="202"/>
      <c r="U194" s="202"/>
      <c r="V194" s="196"/>
    </row>
    <row r="195" spans="1:22">
      <c r="A195" s="191"/>
      <c r="B195" s="168"/>
      <c r="C195" s="188"/>
      <c r="D195" s="189"/>
      <c r="E195" s="189"/>
      <c r="F195" s="189"/>
      <c r="G195" s="189"/>
      <c r="H195" s="189"/>
      <c r="I195" s="189"/>
      <c r="J195" s="190"/>
      <c r="K195" s="190"/>
      <c r="L195" s="189"/>
      <c r="M195" s="189"/>
      <c r="N195" s="189"/>
      <c r="O195" s="190"/>
      <c r="P195" s="190"/>
      <c r="Q195" s="189"/>
      <c r="R195" s="190"/>
      <c r="S195" s="190"/>
      <c r="T195" s="190"/>
      <c r="U195" s="190"/>
      <c r="V195" s="196"/>
    </row>
    <row r="196" spans="1:22">
      <c r="A196" s="191"/>
      <c r="B196" s="192"/>
      <c r="C196" s="193"/>
      <c r="D196" s="194"/>
      <c r="E196" s="194"/>
      <c r="F196" s="194"/>
      <c r="G196" s="194"/>
      <c r="H196" s="194"/>
      <c r="I196" s="194"/>
      <c r="J196" s="195"/>
      <c r="K196" s="195"/>
      <c r="L196" s="194"/>
      <c r="M196" s="194"/>
      <c r="N196" s="194"/>
      <c r="O196" s="195"/>
      <c r="P196" s="195"/>
      <c r="Q196" s="194"/>
      <c r="R196" s="195"/>
      <c r="S196" s="195"/>
      <c r="T196" s="195"/>
      <c r="U196" s="195"/>
      <c r="V196" s="196"/>
    </row>
    <row r="197" spans="1:22">
      <c r="A197" s="191"/>
      <c r="B197" s="197"/>
      <c r="C197" s="198"/>
      <c r="D197" s="199"/>
      <c r="E197" s="199"/>
      <c r="F197" s="199"/>
      <c r="G197" s="199"/>
      <c r="H197" s="199"/>
      <c r="I197" s="199"/>
      <c r="J197" s="202"/>
      <c r="K197" s="202"/>
      <c r="L197" s="199"/>
      <c r="M197" s="199"/>
      <c r="N197" s="199"/>
      <c r="O197" s="202"/>
      <c r="P197" s="202"/>
      <c r="Q197" s="199"/>
      <c r="R197" s="202"/>
      <c r="S197" s="202"/>
      <c r="T197" s="202"/>
      <c r="U197" s="202"/>
      <c r="V197" s="196"/>
    </row>
    <row r="198" spans="1:22">
      <c r="A198" s="191"/>
      <c r="B198" s="168"/>
      <c r="C198" s="188"/>
      <c r="D198" s="189"/>
      <c r="E198" s="189"/>
      <c r="F198" s="189"/>
      <c r="G198" s="189"/>
      <c r="H198" s="189"/>
      <c r="I198" s="189"/>
      <c r="J198" s="190"/>
      <c r="K198" s="190"/>
      <c r="L198" s="189"/>
      <c r="M198" s="189"/>
      <c r="N198" s="189"/>
      <c r="O198" s="190"/>
      <c r="P198" s="190"/>
      <c r="Q198" s="189"/>
      <c r="R198" s="190"/>
      <c r="S198" s="190"/>
      <c r="T198" s="190"/>
      <c r="U198" s="190"/>
      <c r="V198" s="196"/>
    </row>
    <row r="199" spans="1:22">
      <c r="A199" s="191"/>
      <c r="B199" s="192"/>
      <c r="C199" s="193"/>
      <c r="D199" s="194"/>
      <c r="E199" s="194"/>
      <c r="F199" s="194"/>
      <c r="G199" s="194"/>
      <c r="H199" s="194"/>
      <c r="I199" s="194"/>
      <c r="J199" s="195"/>
      <c r="K199" s="195"/>
      <c r="L199" s="194"/>
      <c r="M199" s="194"/>
      <c r="N199" s="194"/>
      <c r="O199" s="195"/>
      <c r="P199" s="195"/>
      <c r="Q199" s="194"/>
      <c r="R199" s="195"/>
      <c r="S199" s="195"/>
      <c r="T199" s="195"/>
      <c r="U199" s="195"/>
      <c r="V199" s="196"/>
    </row>
    <row r="200" spans="1:22">
      <c r="A200" s="191"/>
      <c r="B200" s="197"/>
      <c r="C200" s="198"/>
      <c r="D200" s="199"/>
      <c r="E200" s="199"/>
      <c r="F200" s="199"/>
      <c r="G200" s="199"/>
      <c r="H200" s="199"/>
      <c r="I200" s="199"/>
      <c r="J200" s="202"/>
      <c r="K200" s="202"/>
      <c r="L200" s="199"/>
      <c r="M200" s="199"/>
      <c r="N200" s="199"/>
      <c r="O200" s="202"/>
      <c r="P200" s="202"/>
      <c r="Q200" s="199"/>
      <c r="R200" s="202"/>
      <c r="S200" s="202"/>
      <c r="T200" s="202"/>
      <c r="U200" s="202"/>
      <c r="V200" s="196"/>
    </row>
    <row r="201" spans="1:22">
      <c r="A201" s="191"/>
      <c r="B201" s="168"/>
      <c r="C201" s="188"/>
      <c r="D201" s="189"/>
      <c r="E201" s="189"/>
      <c r="F201" s="189"/>
      <c r="G201" s="189"/>
      <c r="H201" s="189"/>
      <c r="I201" s="189"/>
      <c r="J201" s="190"/>
      <c r="K201" s="190"/>
      <c r="L201" s="189"/>
      <c r="M201" s="189"/>
      <c r="N201" s="189"/>
      <c r="O201" s="190"/>
      <c r="P201" s="190"/>
      <c r="Q201" s="189"/>
      <c r="R201" s="190"/>
      <c r="S201" s="190"/>
      <c r="T201" s="190"/>
      <c r="U201" s="190"/>
      <c r="V201" s="196"/>
    </row>
    <row r="202" spans="1:22">
      <c r="A202" s="191"/>
      <c r="B202" s="192"/>
      <c r="C202" s="193"/>
      <c r="D202" s="194"/>
      <c r="E202" s="194"/>
      <c r="F202" s="194"/>
      <c r="G202" s="194"/>
      <c r="H202" s="194"/>
      <c r="I202" s="194"/>
      <c r="J202" s="195"/>
      <c r="K202" s="195"/>
      <c r="L202" s="194"/>
      <c r="M202" s="194"/>
      <c r="N202" s="194"/>
      <c r="O202" s="195"/>
      <c r="P202" s="195"/>
      <c r="Q202" s="194"/>
      <c r="R202" s="195"/>
      <c r="S202" s="195"/>
      <c r="T202" s="195"/>
      <c r="U202" s="195"/>
      <c r="V202" s="196"/>
    </row>
    <row r="203" spans="1:22" ht="15.75" thickBot="1">
      <c r="A203" s="191"/>
      <c r="B203" s="206"/>
      <c r="C203" s="207"/>
      <c r="D203" s="208"/>
      <c r="E203" s="208"/>
      <c r="F203" s="208"/>
      <c r="G203" s="208"/>
      <c r="H203" s="208"/>
      <c r="I203" s="208"/>
      <c r="J203" s="209"/>
      <c r="K203" s="209"/>
      <c r="L203" s="208"/>
      <c r="M203" s="208"/>
      <c r="N203" s="208"/>
      <c r="O203" s="209"/>
      <c r="P203" s="209"/>
      <c r="Q203" s="208"/>
      <c r="R203" s="209"/>
      <c r="S203" s="209"/>
      <c r="T203" s="209"/>
      <c r="U203" s="209"/>
      <c r="V203" s="196"/>
    </row>
    <row r="204" spans="1:22" ht="15.75" thickTop="1">
      <c r="A204" s="191"/>
      <c r="B204" s="192"/>
      <c r="C204" s="193"/>
      <c r="D204" s="194"/>
      <c r="E204" s="194"/>
      <c r="F204" s="194"/>
      <c r="G204" s="194"/>
      <c r="H204" s="194"/>
      <c r="I204" s="194"/>
      <c r="J204" s="195"/>
      <c r="K204" s="195"/>
      <c r="L204" s="194"/>
      <c r="M204" s="194"/>
      <c r="N204" s="194"/>
      <c r="O204" s="195"/>
      <c r="P204" s="195"/>
      <c r="Q204" s="194"/>
      <c r="R204" s="195"/>
      <c r="S204" s="195"/>
      <c r="T204" s="195"/>
      <c r="U204" s="195"/>
      <c r="V204" s="196"/>
    </row>
    <row r="205" spans="1:22">
      <c r="A205" s="191"/>
      <c r="B205" s="192"/>
      <c r="C205" s="193"/>
      <c r="D205" s="194"/>
      <c r="E205" s="194"/>
      <c r="F205" s="194"/>
      <c r="G205" s="194"/>
      <c r="H205" s="194"/>
      <c r="I205" s="194"/>
      <c r="J205" s="195"/>
      <c r="K205" s="195"/>
      <c r="L205" s="194"/>
      <c r="M205" s="194"/>
      <c r="N205" s="194"/>
      <c r="O205" s="195"/>
      <c r="P205" s="195"/>
      <c r="Q205" s="194"/>
      <c r="R205" s="195"/>
      <c r="S205" s="195"/>
      <c r="T205" s="195"/>
      <c r="U205" s="195"/>
      <c r="V205" s="196"/>
    </row>
    <row r="206" spans="1:22">
      <c r="A206" s="191"/>
      <c r="B206" s="197"/>
      <c r="C206" s="218"/>
      <c r="D206" s="199"/>
      <c r="E206" s="199"/>
      <c r="F206" s="201"/>
      <c r="G206" s="199"/>
      <c r="H206" s="199"/>
      <c r="I206" s="199"/>
      <c r="J206" s="202"/>
      <c r="K206" s="202"/>
      <c r="L206" s="199"/>
      <c r="M206" s="199"/>
      <c r="N206" s="199"/>
      <c r="O206" s="202"/>
      <c r="P206" s="202"/>
      <c r="Q206" s="199"/>
      <c r="R206" s="202"/>
      <c r="S206" s="202"/>
      <c r="T206" s="202"/>
      <c r="U206" s="202"/>
      <c r="V206" s="196"/>
    </row>
    <row r="207" spans="1:22">
      <c r="A207" s="191"/>
      <c r="B207" s="168"/>
      <c r="C207" s="188"/>
      <c r="D207" s="189"/>
      <c r="E207" s="189"/>
      <c r="F207" s="189"/>
      <c r="G207" s="189"/>
      <c r="H207" s="189"/>
      <c r="I207" s="189"/>
      <c r="J207" s="190"/>
      <c r="K207" s="190"/>
      <c r="L207" s="189"/>
      <c r="M207" s="189"/>
      <c r="N207" s="189"/>
      <c r="O207" s="190"/>
      <c r="P207" s="190"/>
      <c r="Q207" s="189"/>
      <c r="R207" s="190"/>
      <c r="S207" s="190"/>
      <c r="T207" s="190"/>
      <c r="U207" s="190"/>
      <c r="V207" s="196"/>
    </row>
    <row r="208" spans="1:22">
      <c r="A208" s="191"/>
      <c r="B208" s="192"/>
      <c r="C208" s="193"/>
      <c r="D208" s="194"/>
      <c r="E208" s="194"/>
      <c r="F208" s="194"/>
      <c r="G208" s="194"/>
      <c r="H208" s="194"/>
      <c r="I208" s="194"/>
      <c r="J208" s="195"/>
      <c r="K208" s="195"/>
      <c r="L208" s="194"/>
      <c r="M208" s="194"/>
      <c r="N208" s="194"/>
      <c r="O208" s="195"/>
      <c r="P208" s="195"/>
      <c r="Q208" s="194"/>
      <c r="R208" s="195"/>
      <c r="S208" s="195"/>
      <c r="T208" s="195"/>
      <c r="U208" s="195"/>
      <c r="V208" s="196"/>
    </row>
    <row r="209" spans="1:22">
      <c r="A209" s="191"/>
      <c r="B209" s="197"/>
      <c r="C209" s="198"/>
      <c r="D209" s="199"/>
      <c r="E209" s="199"/>
      <c r="F209" s="199"/>
      <c r="G209" s="199"/>
      <c r="H209" s="199"/>
      <c r="I209" s="199"/>
      <c r="J209" s="202"/>
      <c r="K209" s="202"/>
      <c r="L209" s="199"/>
      <c r="M209" s="199"/>
      <c r="N209" s="199"/>
      <c r="O209" s="202"/>
      <c r="P209" s="202"/>
      <c r="Q209" s="199"/>
      <c r="R209" s="202"/>
      <c r="S209" s="202"/>
      <c r="T209" s="202"/>
      <c r="U209" s="202"/>
      <c r="V209" s="196"/>
    </row>
    <row r="210" spans="1:22">
      <c r="A210" s="191"/>
      <c r="B210" s="168"/>
      <c r="C210" s="188"/>
      <c r="D210" s="189"/>
      <c r="E210" s="189"/>
      <c r="F210" s="189"/>
      <c r="G210" s="189"/>
      <c r="H210" s="189"/>
      <c r="I210" s="189"/>
      <c r="J210" s="190"/>
      <c r="K210" s="190"/>
      <c r="L210" s="189"/>
      <c r="M210" s="189"/>
      <c r="N210" s="189"/>
      <c r="O210" s="190"/>
      <c r="P210" s="190"/>
      <c r="Q210" s="189"/>
      <c r="R210" s="190"/>
      <c r="S210" s="190"/>
      <c r="T210" s="190"/>
      <c r="U210" s="190"/>
      <c r="V210" s="196"/>
    </row>
    <row r="211" spans="1:22">
      <c r="A211" s="191"/>
      <c r="B211" s="192"/>
      <c r="C211" s="193"/>
      <c r="D211" s="194"/>
      <c r="E211" s="194"/>
      <c r="F211" s="194"/>
      <c r="G211" s="194"/>
      <c r="H211" s="194"/>
      <c r="I211" s="194"/>
      <c r="J211" s="195"/>
      <c r="K211" s="195"/>
      <c r="L211" s="194"/>
      <c r="M211" s="194"/>
      <c r="N211" s="194"/>
      <c r="O211" s="195"/>
      <c r="P211" s="195"/>
      <c r="Q211" s="194"/>
      <c r="R211" s="195"/>
      <c r="S211" s="195"/>
      <c r="T211" s="195"/>
      <c r="U211" s="195"/>
      <c r="V211" s="196"/>
    </row>
    <row r="212" spans="1:22">
      <c r="A212" s="191"/>
      <c r="B212" s="197"/>
      <c r="C212" s="198"/>
      <c r="D212" s="199"/>
      <c r="E212" s="199"/>
      <c r="F212" s="201"/>
      <c r="G212" s="199"/>
      <c r="H212" s="199"/>
      <c r="I212" s="199"/>
      <c r="J212" s="202"/>
      <c r="K212" s="202"/>
      <c r="L212" s="199"/>
      <c r="M212" s="199"/>
      <c r="N212" s="199"/>
      <c r="O212" s="202"/>
      <c r="P212" s="202"/>
      <c r="Q212" s="199"/>
      <c r="R212" s="202"/>
      <c r="S212" s="202"/>
      <c r="T212" s="202"/>
      <c r="U212" s="202"/>
      <c r="V212" s="196"/>
    </row>
    <row r="213" spans="1:22">
      <c r="A213" s="191"/>
      <c r="B213" s="168"/>
      <c r="C213" s="188"/>
      <c r="D213" s="189"/>
      <c r="E213" s="189"/>
      <c r="F213" s="189"/>
      <c r="G213" s="189"/>
      <c r="H213" s="189"/>
      <c r="I213" s="189"/>
      <c r="J213" s="190"/>
      <c r="K213" s="190"/>
      <c r="L213" s="189"/>
      <c r="M213" s="189"/>
      <c r="N213" s="189"/>
      <c r="O213" s="190"/>
      <c r="P213" s="190"/>
      <c r="Q213" s="189"/>
      <c r="R213" s="190"/>
      <c r="S213" s="190"/>
      <c r="T213" s="190"/>
      <c r="U213" s="190"/>
      <c r="V213" s="196"/>
    </row>
    <row r="214" spans="1:22">
      <c r="A214" s="191"/>
      <c r="B214" s="192"/>
      <c r="C214" s="193"/>
      <c r="D214" s="194"/>
      <c r="E214" s="194"/>
      <c r="F214" s="194"/>
      <c r="G214" s="194"/>
      <c r="H214" s="194"/>
      <c r="I214" s="194"/>
      <c r="J214" s="195"/>
      <c r="K214" s="195"/>
      <c r="L214" s="194"/>
      <c r="M214" s="194"/>
      <c r="N214" s="194"/>
      <c r="O214" s="195"/>
      <c r="P214" s="195"/>
      <c r="Q214" s="194"/>
      <c r="R214" s="195"/>
      <c r="S214" s="195"/>
      <c r="T214" s="195"/>
      <c r="U214" s="195"/>
      <c r="V214" s="196"/>
    </row>
    <row r="215" spans="1:22">
      <c r="A215" s="191"/>
      <c r="B215" s="197"/>
      <c r="C215" s="198"/>
      <c r="D215" s="199"/>
      <c r="E215" s="199"/>
      <c r="F215" s="199"/>
      <c r="G215" s="199"/>
      <c r="H215" s="199"/>
      <c r="I215" s="199"/>
      <c r="J215" s="202"/>
      <c r="K215" s="202"/>
      <c r="L215" s="199"/>
      <c r="M215" s="199"/>
      <c r="N215" s="199"/>
      <c r="O215" s="202"/>
      <c r="P215" s="202"/>
      <c r="Q215" s="199"/>
      <c r="R215" s="202"/>
      <c r="S215" s="202"/>
      <c r="T215" s="202"/>
      <c r="U215" s="202"/>
      <c r="V215" s="196"/>
    </row>
    <row r="216" spans="1:22">
      <c r="A216" s="191"/>
      <c r="B216" s="168"/>
      <c r="C216" s="188"/>
      <c r="D216" s="189"/>
      <c r="E216" s="189"/>
      <c r="F216" s="189"/>
      <c r="G216" s="189"/>
      <c r="H216" s="189"/>
      <c r="I216" s="189"/>
      <c r="J216" s="190"/>
      <c r="K216" s="190"/>
      <c r="L216" s="189"/>
      <c r="M216" s="189"/>
      <c r="N216" s="189"/>
      <c r="O216" s="190"/>
      <c r="P216" s="190"/>
      <c r="Q216" s="189"/>
      <c r="R216" s="190"/>
      <c r="S216" s="190"/>
      <c r="T216" s="190"/>
      <c r="U216" s="190"/>
      <c r="V216" s="196"/>
    </row>
    <row r="217" spans="1:22">
      <c r="A217" s="191"/>
      <c r="B217" s="192"/>
      <c r="C217" s="193"/>
      <c r="D217" s="194"/>
      <c r="E217" s="194"/>
      <c r="F217" s="194"/>
      <c r="G217" s="194"/>
      <c r="H217" s="194"/>
      <c r="I217" s="194"/>
      <c r="J217" s="195"/>
      <c r="K217" s="195"/>
      <c r="L217" s="194"/>
      <c r="M217" s="194"/>
      <c r="N217" s="194"/>
      <c r="O217" s="195"/>
      <c r="P217" s="195"/>
      <c r="Q217" s="194"/>
      <c r="R217" s="195"/>
      <c r="S217" s="195"/>
      <c r="T217" s="195"/>
      <c r="U217" s="195"/>
      <c r="V217" s="196"/>
    </row>
    <row r="218" spans="1:22">
      <c r="A218" s="191"/>
      <c r="B218" s="197"/>
      <c r="C218" s="198"/>
      <c r="D218" s="199"/>
      <c r="E218" s="199"/>
      <c r="F218" s="199"/>
      <c r="G218" s="199"/>
      <c r="H218" s="199"/>
      <c r="I218" s="199"/>
      <c r="J218" s="202"/>
      <c r="K218" s="202"/>
      <c r="L218" s="199"/>
      <c r="M218" s="199"/>
      <c r="N218" s="199"/>
      <c r="O218" s="202"/>
      <c r="P218" s="202"/>
      <c r="Q218" s="199"/>
      <c r="R218" s="202"/>
      <c r="S218" s="202"/>
      <c r="T218" s="202"/>
      <c r="U218" s="202"/>
      <c r="V218" s="196"/>
    </row>
    <row r="219" spans="1:22">
      <c r="A219" s="191"/>
      <c r="B219" s="168"/>
      <c r="C219" s="188"/>
      <c r="D219" s="189"/>
      <c r="E219" s="189"/>
      <c r="F219" s="189"/>
      <c r="G219" s="189"/>
      <c r="H219" s="189"/>
      <c r="I219" s="189"/>
      <c r="J219" s="190"/>
      <c r="K219" s="190"/>
      <c r="L219" s="189"/>
      <c r="M219" s="189"/>
      <c r="N219" s="189"/>
      <c r="O219" s="190"/>
      <c r="P219" s="190"/>
      <c r="Q219" s="189"/>
      <c r="R219" s="190"/>
      <c r="S219" s="190"/>
      <c r="T219" s="190"/>
      <c r="U219" s="190"/>
      <c r="V219" s="196"/>
    </row>
    <row r="220" spans="1:22">
      <c r="A220" s="191"/>
      <c r="B220" s="192"/>
      <c r="C220" s="193"/>
      <c r="D220" s="194"/>
      <c r="E220" s="194"/>
      <c r="F220" s="194"/>
      <c r="G220" s="194"/>
      <c r="H220" s="194"/>
      <c r="I220" s="194"/>
      <c r="J220" s="195"/>
      <c r="K220" s="195"/>
      <c r="L220" s="194"/>
      <c r="M220" s="194"/>
      <c r="N220" s="194"/>
      <c r="O220" s="195"/>
      <c r="P220" s="195"/>
      <c r="Q220" s="194"/>
      <c r="R220" s="195"/>
      <c r="S220" s="195"/>
      <c r="T220" s="195"/>
      <c r="U220" s="195"/>
      <c r="V220" s="196"/>
    </row>
    <row r="221" spans="1:22" ht="15.75" thickBot="1">
      <c r="A221" s="210"/>
      <c r="B221" s="211"/>
      <c r="C221" s="212"/>
      <c r="D221" s="213"/>
      <c r="E221" s="213"/>
      <c r="F221" s="213"/>
      <c r="G221" s="213"/>
      <c r="H221" s="213"/>
      <c r="I221" s="213"/>
      <c r="J221" s="214"/>
      <c r="K221" s="214"/>
      <c r="L221" s="213"/>
      <c r="M221" s="213"/>
      <c r="N221" s="213"/>
      <c r="O221" s="214"/>
      <c r="P221" s="214"/>
      <c r="Q221" s="213"/>
      <c r="R221" s="214"/>
      <c r="S221" s="214"/>
      <c r="T221" s="214"/>
      <c r="U221" s="214"/>
      <c r="V221" s="196"/>
    </row>
    <row r="222" spans="1:22">
      <c r="A222" s="187"/>
      <c r="B222" s="168"/>
      <c r="C222" s="188"/>
      <c r="D222" s="189"/>
      <c r="E222" s="189"/>
      <c r="F222" s="189"/>
      <c r="G222" s="189"/>
      <c r="H222" s="189"/>
      <c r="I222" s="189"/>
      <c r="J222" s="190"/>
      <c r="K222" s="190"/>
      <c r="L222" s="189"/>
      <c r="M222" s="189"/>
      <c r="N222" s="189"/>
      <c r="O222" s="190"/>
      <c r="P222" s="190"/>
      <c r="Q222" s="189"/>
      <c r="R222" s="190"/>
      <c r="S222" s="190"/>
      <c r="T222" s="190"/>
      <c r="U222" s="190"/>
      <c r="V222" s="196"/>
    </row>
    <row r="223" spans="1:22">
      <c r="A223" s="191"/>
      <c r="B223" s="192"/>
      <c r="C223" s="193"/>
      <c r="D223" s="194"/>
      <c r="E223" s="194"/>
      <c r="F223" s="194"/>
      <c r="G223" s="194"/>
      <c r="H223" s="194"/>
      <c r="I223" s="194"/>
      <c r="J223" s="195"/>
      <c r="K223" s="195"/>
      <c r="L223" s="194"/>
      <c r="M223" s="194"/>
      <c r="N223" s="194"/>
      <c r="O223" s="195"/>
      <c r="P223" s="195"/>
      <c r="Q223" s="194"/>
      <c r="R223" s="195"/>
      <c r="S223" s="195"/>
      <c r="T223" s="195"/>
      <c r="U223" s="195"/>
      <c r="V223" s="196"/>
    </row>
    <row r="224" spans="1:22">
      <c r="A224" s="191"/>
      <c r="B224" s="197"/>
      <c r="C224" s="198"/>
      <c r="D224" s="199"/>
      <c r="E224" s="199"/>
      <c r="F224" s="199"/>
      <c r="G224" s="199"/>
      <c r="H224" s="199"/>
      <c r="I224" s="199"/>
      <c r="J224" s="202"/>
      <c r="K224" s="202"/>
      <c r="L224" s="199"/>
      <c r="M224" s="199"/>
      <c r="N224" s="199"/>
      <c r="O224" s="202"/>
      <c r="P224" s="202"/>
      <c r="Q224" s="199"/>
      <c r="R224" s="202"/>
      <c r="S224" s="202"/>
      <c r="T224" s="202"/>
      <c r="U224" s="202"/>
      <c r="V224" s="196"/>
    </row>
    <row r="225" spans="1:22">
      <c r="A225" s="191"/>
      <c r="B225" s="168"/>
      <c r="C225" s="188"/>
      <c r="D225" s="189"/>
      <c r="E225" s="189"/>
      <c r="F225" s="189"/>
      <c r="G225" s="189"/>
      <c r="H225" s="189"/>
      <c r="I225" s="189"/>
      <c r="J225" s="190"/>
      <c r="K225" s="190"/>
      <c r="L225" s="189"/>
      <c r="M225" s="189"/>
      <c r="N225" s="189"/>
      <c r="O225" s="190"/>
      <c r="P225" s="190"/>
      <c r="Q225" s="189"/>
      <c r="R225" s="190"/>
      <c r="S225" s="190"/>
      <c r="T225" s="190"/>
      <c r="U225" s="190"/>
      <c r="V225" s="196"/>
    </row>
    <row r="226" spans="1:22">
      <c r="A226" s="191"/>
      <c r="B226" s="192"/>
      <c r="C226" s="193"/>
      <c r="D226" s="194"/>
      <c r="E226" s="194"/>
      <c r="F226" s="194"/>
      <c r="G226" s="194"/>
      <c r="H226" s="194"/>
      <c r="I226" s="194"/>
      <c r="J226" s="195"/>
      <c r="K226" s="195"/>
      <c r="L226" s="194"/>
      <c r="M226" s="194"/>
      <c r="N226" s="194"/>
      <c r="O226" s="195"/>
      <c r="P226" s="195"/>
      <c r="Q226" s="194"/>
      <c r="R226" s="195"/>
      <c r="S226" s="195"/>
      <c r="T226" s="195"/>
      <c r="U226" s="195"/>
      <c r="V226" s="196"/>
    </row>
    <row r="227" spans="1:22">
      <c r="A227" s="191"/>
      <c r="B227" s="197"/>
      <c r="C227" s="198"/>
      <c r="D227" s="199"/>
      <c r="E227" s="199"/>
      <c r="F227" s="199"/>
      <c r="G227" s="199"/>
      <c r="H227" s="199"/>
      <c r="I227" s="199"/>
      <c r="J227" s="202"/>
      <c r="K227" s="202"/>
      <c r="L227" s="199"/>
      <c r="M227" s="199"/>
      <c r="N227" s="199"/>
      <c r="O227" s="202"/>
      <c r="P227" s="202"/>
      <c r="Q227" s="199"/>
      <c r="R227" s="202"/>
      <c r="S227" s="202"/>
      <c r="T227" s="202"/>
      <c r="U227" s="202"/>
      <c r="V227" s="196"/>
    </row>
    <row r="228" spans="1:22">
      <c r="A228" s="191"/>
      <c r="B228" s="168"/>
      <c r="C228" s="188"/>
      <c r="D228" s="189"/>
      <c r="E228" s="189"/>
      <c r="F228" s="189"/>
      <c r="G228" s="189"/>
      <c r="H228" s="189"/>
      <c r="I228" s="189"/>
      <c r="J228" s="190"/>
      <c r="K228" s="190"/>
      <c r="L228" s="189"/>
      <c r="M228" s="189"/>
      <c r="N228" s="189"/>
      <c r="O228" s="190"/>
      <c r="P228" s="190"/>
      <c r="Q228" s="189"/>
      <c r="R228" s="190"/>
      <c r="S228" s="190"/>
      <c r="T228" s="190"/>
      <c r="U228" s="190"/>
      <c r="V228" s="196"/>
    </row>
    <row r="229" spans="1:22">
      <c r="A229" s="191"/>
      <c r="B229" s="192"/>
      <c r="C229" s="193"/>
      <c r="D229" s="194"/>
      <c r="E229" s="194"/>
      <c r="F229" s="194"/>
      <c r="G229" s="194"/>
      <c r="H229" s="194"/>
      <c r="I229" s="194"/>
      <c r="J229" s="195"/>
      <c r="K229" s="195"/>
      <c r="L229" s="194"/>
      <c r="M229" s="194"/>
      <c r="N229" s="194"/>
      <c r="O229" s="195"/>
      <c r="P229" s="195"/>
      <c r="Q229" s="194"/>
      <c r="R229" s="195"/>
      <c r="S229" s="195"/>
      <c r="T229" s="195"/>
      <c r="U229" s="195"/>
      <c r="V229" s="196"/>
    </row>
    <row r="230" spans="1:22">
      <c r="A230" s="191"/>
      <c r="B230" s="197"/>
      <c r="C230" s="198"/>
      <c r="D230" s="199"/>
      <c r="E230" s="199"/>
      <c r="F230" s="199"/>
      <c r="G230" s="199"/>
      <c r="H230" s="199"/>
      <c r="I230" s="199"/>
      <c r="J230" s="202"/>
      <c r="K230" s="202"/>
      <c r="L230" s="199"/>
      <c r="M230" s="199"/>
      <c r="N230" s="199"/>
      <c r="O230" s="202"/>
      <c r="P230" s="202"/>
      <c r="Q230" s="199"/>
      <c r="R230" s="202"/>
      <c r="S230" s="202"/>
      <c r="T230" s="202"/>
      <c r="U230" s="202"/>
      <c r="V230" s="196"/>
    </row>
    <row r="231" spans="1:22">
      <c r="A231" s="191"/>
      <c r="B231" s="168"/>
      <c r="C231" s="188"/>
      <c r="D231" s="189"/>
      <c r="E231" s="189"/>
      <c r="F231" s="189"/>
      <c r="G231" s="189"/>
      <c r="H231" s="189"/>
      <c r="I231" s="189"/>
      <c r="J231" s="190"/>
      <c r="K231" s="190"/>
      <c r="L231" s="189"/>
      <c r="M231" s="189"/>
      <c r="N231" s="189"/>
      <c r="O231" s="190"/>
      <c r="P231" s="190"/>
      <c r="Q231" s="189"/>
      <c r="R231" s="190"/>
      <c r="S231" s="190"/>
      <c r="T231" s="190"/>
      <c r="U231" s="190"/>
      <c r="V231" s="196"/>
    </row>
    <row r="232" spans="1:22">
      <c r="A232" s="191"/>
      <c r="B232" s="192"/>
      <c r="C232" s="193"/>
      <c r="D232" s="194"/>
      <c r="E232" s="194"/>
      <c r="F232" s="194"/>
      <c r="G232" s="194"/>
      <c r="H232" s="194"/>
      <c r="I232" s="194"/>
      <c r="J232" s="195"/>
      <c r="K232" s="195"/>
      <c r="L232" s="194"/>
      <c r="M232" s="194"/>
      <c r="N232" s="194"/>
      <c r="O232" s="195"/>
      <c r="P232" s="195"/>
      <c r="Q232" s="194"/>
      <c r="R232" s="195"/>
      <c r="S232" s="195"/>
      <c r="T232" s="195"/>
      <c r="U232" s="195"/>
      <c r="V232" s="196"/>
    </row>
    <row r="233" spans="1:22">
      <c r="A233" s="191"/>
      <c r="B233" s="197"/>
      <c r="C233" s="198"/>
      <c r="D233" s="199"/>
      <c r="E233" s="199"/>
      <c r="F233" s="199"/>
      <c r="G233" s="199"/>
      <c r="H233" s="199"/>
      <c r="I233" s="199"/>
      <c r="J233" s="202"/>
      <c r="K233" s="202"/>
      <c r="L233" s="199"/>
      <c r="M233" s="199"/>
      <c r="N233" s="199"/>
      <c r="O233" s="202"/>
      <c r="P233" s="202"/>
      <c r="Q233" s="199"/>
      <c r="R233" s="202"/>
      <c r="S233" s="202"/>
      <c r="T233" s="202"/>
      <c r="U233" s="202"/>
      <c r="V233" s="196"/>
    </row>
    <row r="234" spans="1:22">
      <c r="A234" s="191"/>
      <c r="B234" s="168"/>
      <c r="C234" s="188"/>
      <c r="D234" s="189"/>
      <c r="E234" s="189"/>
      <c r="F234" s="189"/>
      <c r="G234" s="189"/>
      <c r="H234" s="189"/>
      <c r="I234" s="189"/>
      <c r="J234" s="190"/>
      <c r="K234" s="190"/>
      <c r="L234" s="189"/>
      <c r="M234" s="189"/>
      <c r="N234" s="189"/>
      <c r="O234" s="190"/>
      <c r="P234" s="190"/>
      <c r="Q234" s="189"/>
      <c r="R234" s="190"/>
      <c r="S234" s="190"/>
      <c r="T234" s="190"/>
      <c r="U234" s="190"/>
      <c r="V234" s="196"/>
    </row>
    <row r="235" spans="1:22">
      <c r="A235" s="191"/>
      <c r="B235" s="192"/>
      <c r="C235" s="193"/>
      <c r="D235" s="194"/>
      <c r="E235" s="194"/>
      <c r="F235" s="194"/>
      <c r="G235" s="194"/>
      <c r="H235" s="194"/>
      <c r="I235" s="194"/>
      <c r="J235" s="195"/>
      <c r="K235" s="195"/>
      <c r="L235" s="194"/>
      <c r="M235" s="194"/>
      <c r="N235" s="194"/>
      <c r="O235" s="195"/>
      <c r="P235" s="195"/>
      <c r="Q235" s="194"/>
      <c r="R235" s="195"/>
      <c r="S235" s="195"/>
      <c r="T235" s="195"/>
      <c r="U235" s="195"/>
      <c r="V235" s="196"/>
    </row>
    <row r="236" spans="1:22">
      <c r="A236" s="191"/>
      <c r="B236" s="197"/>
      <c r="C236" s="198"/>
      <c r="D236" s="199"/>
      <c r="E236" s="199"/>
      <c r="F236" s="199"/>
      <c r="G236" s="199"/>
      <c r="H236" s="199"/>
      <c r="I236" s="199"/>
      <c r="J236" s="202"/>
      <c r="K236" s="202"/>
      <c r="L236" s="199"/>
      <c r="M236" s="199"/>
      <c r="N236" s="199"/>
      <c r="O236" s="202"/>
      <c r="P236" s="202"/>
      <c r="Q236" s="199"/>
      <c r="R236" s="202"/>
      <c r="S236" s="202"/>
      <c r="T236" s="202"/>
      <c r="U236" s="202"/>
      <c r="V236" s="196"/>
    </row>
    <row r="237" spans="1:22">
      <c r="A237" s="191"/>
      <c r="B237" s="168"/>
      <c r="C237" s="188"/>
      <c r="D237" s="189"/>
      <c r="E237" s="189"/>
      <c r="F237" s="189"/>
      <c r="G237" s="189"/>
      <c r="H237" s="189"/>
      <c r="I237" s="189"/>
      <c r="J237" s="190"/>
      <c r="K237" s="190"/>
      <c r="L237" s="189"/>
      <c r="M237" s="189"/>
      <c r="N237" s="189"/>
      <c r="O237" s="190"/>
      <c r="P237" s="190"/>
      <c r="Q237" s="189"/>
      <c r="R237" s="190"/>
      <c r="S237" s="190"/>
      <c r="T237" s="190"/>
      <c r="U237" s="190"/>
      <c r="V237" s="196"/>
    </row>
    <row r="238" spans="1:22">
      <c r="A238" s="191"/>
      <c r="B238" s="192"/>
      <c r="C238" s="193"/>
      <c r="D238" s="194"/>
      <c r="E238" s="194"/>
      <c r="F238" s="194"/>
      <c r="G238" s="194"/>
      <c r="H238" s="194"/>
      <c r="I238" s="194"/>
      <c r="J238" s="195"/>
      <c r="K238" s="195"/>
      <c r="L238" s="194"/>
      <c r="M238" s="194"/>
      <c r="N238" s="194"/>
      <c r="O238" s="195"/>
      <c r="P238" s="195"/>
      <c r="Q238" s="194"/>
      <c r="R238" s="195"/>
      <c r="S238" s="195"/>
      <c r="T238" s="195"/>
      <c r="U238" s="195"/>
      <c r="V238" s="196"/>
    </row>
    <row r="239" spans="1:22" ht="15.75" thickBot="1">
      <c r="A239" s="191"/>
      <c r="B239" s="206"/>
      <c r="C239" s="207"/>
      <c r="D239" s="208"/>
      <c r="E239" s="208"/>
      <c r="F239" s="208"/>
      <c r="G239" s="208"/>
      <c r="H239" s="208"/>
      <c r="I239" s="208"/>
      <c r="J239" s="209"/>
      <c r="K239" s="209"/>
      <c r="L239" s="208"/>
      <c r="M239" s="208"/>
      <c r="N239" s="208"/>
      <c r="O239" s="209"/>
      <c r="P239" s="209"/>
      <c r="Q239" s="208"/>
      <c r="R239" s="209"/>
      <c r="S239" s="209"/>
      <c r="T239" s="209"/>
      <c r="U239" s="209"/>
      <c r="V239" s="196"/>
    </row>
    <row r="240" spans="1:22" ht="15.75" thickTop="1">
      <c r="A240" s="191"/>
      <c r="B240" s="192"/>
      <c r="C240" s="193"/>
      <c r="D240" s="194"/>
      <c r="E240" s="194"/>
      <c r="F240" s="194"/>
      <c r="G240" s="194"/>
      <c r="H240" s="194"/>
      <c r="I240" s="194"/>
      <c r="J240" s="195"/>
      <c r="K240" s="195"/>
      <c r="L240" s="194"/>
      <c r="M240" s="194"/>
      <c r="N240" s="194"/>
      <c r="O240" s="195"/>
      <c r="P240" s="195"/>
      <c r="Q240" s="194"/>
      <c r="R240" s="195"/>
      <c r="S240" s="195"/>
      <c r="T240" s="195"/>
      <c r="U240" s="195"/>
      <c r="V240" s="196"/>
    </row>
    <row r="241" spans="1:22">
      <c r="A241" s="191"/>
      <c r="B241" s="192"/>
      <c r="C241" s="193"/>
      <c r="D241" s="194"/>
      <c r="E241" s="194"/>
      <c r="F241" s="194"/>
      <c r="G241" s="194"/>
      <c r="H241" s="194"/>
      <c r="I241" s="194"/>
      <c r="J241" s="195"/>
      <c r="K241" s="195"/>
      <c r="L241" s="194"/>
      <c r="M241" s="194"/>
      <c r="N241" s="194"/>
      <c r="O241" s="195"/>
      <c r="P241" s="195"/>
      <c r="Q241" s="194"/>
      <c r="R241" s="195"/>
      <c r="S241" s="195"/>
      <c r="T241" s="195"/>
      <c r="U241" s="195"/>
      <c r="V241" s="196"/>
    </row>
    <row r="242" spans="1:22">
      <c r="A242" s="191"/>
      <c r="B242" s="197"/>
      <c r="C242" s="198"/>
      <c r="D242" s="199"/>
      <c r="E242" s="199"/>
      <c r="F242" s="199"/>
      <c r="G242" s="199"/>
      <c r="H242" s="199"/>
      <c r="I242" s="199"/>
      <c r="J242" s="202"/>
      <c r="K242" s="202"/>
      <c r="L242" s="199"/>
      <c r="M242" s="199"/>
      <c r="N242" s="199"/>
      <c r="O242" s="202"/>
      <c r="P242" s="202"/>
      <c r="Q242" s="199"/>
      <c r="R242" s="202"/>
      <c r="S242" s="202"/>
      <c r="T242" s="202"/>
      <c r="U242" s="202"/>
      <c r="V242" s="196"/>
    </row>
    <row r="243" spans="1:22">
      <c r="A243" s="191"/>
      <c r="B243" s="168"/>
      <c r="C243" s="188"/>
      <c r="D243" s="189"/>
      <c r="E243" s="189"/>
      <c r="F243" s="189"/>
      <c r="G243" s="189"/>
      <c r="H243" s="189"/>
      <c r="I243" s="189"/>
      <c r="J243" s="190"/>
      <c r="K243" s="190"/>
      <c r="L243" s="189"/>
      <c r="M243" s="189"/>
      <c r="N243" s="189"/>
      <c r="O243" s="190"/>
      <c r="P243" s="190"/>
      <c r="Q243" s="189"/>
      <c r="R243" s="190"/>
      <c r="S243" s="190"/>
      <c r="T243" s="190"/>
      <c r="U243" s="190"/>
      <c r="V243" s="196"/>
    </row>
    <row r="244" spans="1:22">
      <c r="A244" s="191"/>
      <c r="B244" s="192"/>
      <c r="C244" s="193"/>
      <c r="D244" s="194"/>
      <c r="E244" s="194"/>
      <c r="F244" s="194"/>
      <c r="G244" s="194"/>
      <c r="H244" s="194"/>
      <c r="I244" s="194"/>
      <c r="J244" s="195"/>
      <c r="K244" s="195"/>
      <c r="L244" s="194"/>
      <c r="M244" s="194"/>
      <c r="N244" s="194"/>
      <c r="O244" s="195"/>
      <c r="P244" s="195"/>
      <c r="Q244" s="194"/>
      <c r="R244" s="195"/>
      <c r="S244" s="195"/>
      <c r="T244" s="195"/>
      <c r="U244" s="195"/>
      <c r="V244" s="196"/>
    </row>
    <row r="245" spans="1:22">
      <c r="A245" s="191"/>
      <c r="B245" s="197"/>
      <c r="C245" s="198"/>
      <c r="D245" s="199"/>
      <c r="E245" s="199"/>
      <c r="F245" s="199"/>
      <c r="G245" s="199"/>
      <c r="H245" s="199"/>
      <c r="I245" s="199"/>
      <c r="J245" s="202"/>
      <c r="K245" s="202"/>
      <c r="L245" s="199"/>
      <c r="M245" s="199"/>
      <c r="N245" s="199"/>
      <c r="O245" s="202"/>
      <c r="P245" s="202"/>
      <c r="Q245" s="199"/>
      <c r="R245" s="202"/>
      <c r="S245" s="202"/>
      <c r="T245" s="202"/>
      <c r="U245" s="202"/>
      <c r="V245" s="196"/>
    </row>
    <row r="246" spans="1:22">
      <c r="A246" s="191"/>
      <c r="B246" s="168"/>
      <c r="C246" s="188"/>
      <c r="D246" s="189"/>
      <c r="E246" s="189"/>
      <c r="F246" s="189"/>
      <c r="G246" s="189"/>
      <c r="H246" s="189"/>
      <c r="I246" s="189"/>
      <c r="J246" s="190"/>
      <c r="K246" s="190"/>
      <c r="L246" s="189"/>
      <c r="M246" s="189"/>
      <c r="N246" s="189"/>
      <c r="O246" s="190"/>
      <c r="P246" s="190"/>
      <c r="Q246" s="189"/>
      <c r="R246" s="190"/>
      <c r="S246" s="190"/>
      <c r="T246" s="190"/>
      <c r="U246" s="190"/>
      <c r="V246" s="196"/>
    </row>
    <row r="247" spans="1:22">
      <c r="A247" s="191"/>
      <c r="B247" s="192"/>
      <c r="C247" s="193"/>
      <c r="D247" s="194"/>
      <c r="E247" s="194"/>
      <c r="F247" s="194"/>
      <c r="G247" s="194"/>
      <c r="H247" s="194"/>
      <c r="I247" s="194"/>
      <c r="J247" s="195"/>
      <c r="K247" s="195"/>
      <c r="L247" s="194"/>
      <c r="M247" s="194"/>
      <c r="N247" s="194"/>
      <c r="O247" s="195"/>
      <c r="P247" s="195"/>
      <c r="Q247" s="194"/>
      <c r="R247" s="195"/>
      <c r="S247" s="195"/>
      <c r="T247" s="195"/>
      <c r="U247" s="195"/>
      <c r="V247" s="196"/>
    </row>
    <row r="248" spans="1:22">
      <c r="A248" s="191"/>
      <c r="B248" s="197"/>
      <c r="C248" s="198"/>
      <c r="D248" s="199"/>
      <c r="E248" s="199"/>
      <c r="F248" s="199"/>
      <c r="G248" s="199"/>
      <c r="H248" s="199"/>
      <c r="I248" s="199"/>
      <c r="J248" s="202"/>
      <c r="K248" s="202"/>
      <c r="L248" s="199"/>
      <c r="M248" s="199"/>
      <c r="N248" s="199"/>
      <c r="O248" s="202"/>
      <c r="P248" s="202"/>
      <c r="Q248" s="199"/>
      <c r="R248" s="202"/>
      <c r="S248" s="202"/>
      <c r="T248" s="202"/>
      <c r="U248" s="202"/>
      <c r="V248" s="196"/>
    </row>
    <row r="249" spans="1:22">
      <c r="A249" s="191"/>
      <c r="B249" s="168"/>
      <c r="C249" s="188"/>
      <c r="D249" s="189"/>
      <c r="E249" s="189"/>
      <c r="F249" s="189"/>
      <c r="G249" s="189"/>
      <c r="H249" s="189"/>
      <c r="I249" s="189"/>
      <c r="J249" s="190"/>
      <c r="K249" s="190"/>
      <c r="L249" s="189"/>
      <c r="M249" s="189"/>
      <c r="N249" s="189"/>
      <c r="O249" s="190"/>
      <c r="P249" s="190"/>
      <c r="Q249" s="189"/>
      <c r="R249" s="190"/>
      <c r="S249" s="190"/>
      <c r="T249" s="190"/>
      <c r="U249" s="190"/>
      <c r="V249" s="196"/>
    </row>
    <row r="250" spans="1:22">
      <c r="A250" s="191"/>
      <c r="B250" s="192"/>
      <c r="C250" s="193"/>
      <c r="D250" s="194"/>
      <c r="E250" s="194"/>
      <c r="F250" s="194"/>
      <c r="G250" s="194"/>
      <c r="H250" s="194"/>
      <c r="I250" s="194"/>
      <c r="J250" s="195"/>
      <c r="K250" s="195"/>
      <c r="L250" s="194"/>
      <c r="M250" s="194"/>
      <c r="N250" s="194"/>
      <c r="O250" s="195"/>
      <c r="P250" s="195"/>
      <c r="Q250" s="194"/>
      <c r="R250" s="195"/>
      <c r="S250" s="195"/>
      <c r="T250" s="195"/>
      <c r="U250" s="195"/>
      <c r="V250" s="196"/>
    </row>
    <row r="251" spans="1:22">
      <c r="A251" s="191"/>
      <c r="B251" s="197"/>
      <c r="C251" s="198"/>
      <c r="D251" s="199"/>
      <c r="E251" s="199"/>
      <c r="F251" s="199"/>
      <c r="G251" s="199"/>
      <c r="H251" s="199"/>
      <c r="I251" s="199"/>
      <c r="J251" s="202"/>
      <c r="K251" s="202"/>
      <c r="L251" s="199"/>
      <c r="M251" s="199"/>
      <c r="N251" s="199"/>
      <c r="O251" s="202"/>
      <c r="P251" s="202"/>
      <c r="Q251" s="199"/>
      <c r="R251" s="202"/>
      <c r="S251" s="202"/>
      <c r="T251" s="202"/>
      <c r="U251" s="202"/>
      <c r="V251" s="196"/>
    </row>
    <row r="252" spans="1:22">
      <c r="A252" s="191"/>
      <c r="B252" s="168"/>
      <c r="C252" s="188"/>
      <c r="D252" s="189"/>
      <c r="E252" s="189"/>
      <c r="F252" s="189"/>
      <c r="G252" s="189"/>
      <c r="H252" s="189"/>
      <c r="I252" s="189"/>
      <c r="J252" s="190"/>
      <c r="K252" s="190"/>
      <c r="L252" s="189"/>
      <c r="M252" s="189"/>
      <c r="N252" s="189"/>
      <c r="O252" s="190"/>
      <c r="P252" s="190"/>
      <c r="Q252" s="189"/>
      <c r="R252" s="190"/>
      <c r="S252" s="190"/>
      <c r="T252" s="190"/>
      <c r="U252" s="190"/>
      <c r="V252" s="196"/>
    </row>
    <row r="253" spans="1:22">
      <c r="A253" s="191"/>
      <c r="B253" s="192"/>
      <c r="C253" s="193"/>
      <c r="D253" s="194"/>
      <c r="E253" s="194"/>
      <c r="F253" s="194"/>
      <c r="G253" s="194"/>
      <c r="H253" s="194"/>
      <c r="I253" s="194"/>
      <c r="J253" s="195"/>
      <c r="K253" s="195"/>
      <c r="L253" s="194"/>
      <c r="M253" s="194"/>
      <c r="N253" s="194"/>
      <c r="O253" s="195"/>
      <c r="P253" s="195"/>
      <c r="Q253" s="194"/>
      <c r="R253" s="195"/>
      <c r="S253" s="195"/>
      <c r="T253" s="195"/>
      <c r="U253" s="195"/>
      <c r="V253" s="196"/>
    </row>
    <row r="254" spans="1:22">
      <c r="A254" s="191"/>
      <c r="B254" s="197"/>
      <c r="C254" s="198"/>
      <c r="D254" s="199"/>
      <c r="E254" s="199"/>
      <c r="F254" s="199"/>
      <c r="G254" s="199"/>
      <c r="H254" s="199"/>
      <c r="I254" s="199"/>
      <c r="J254" s="202"/>
      <c r="K254" s="202"/>
      <c r="L254" s="199"/>
      <c r="M254" s="199"/>
      <c r="N254" s="199"/>
      <c r="O254" s="202"/>
      <c r="P254" s="202"/>
      <c r="Q254" s="199"/>
      <c r="R254" s="202"/>
      <c r="S254" s="202"/>
      <c r="T254" s="202"/>
      <c r="U254" s="202"/>
      <c r="V254" s="196"/>
    </row>
    <row r="255" spans="1:22">
      <c r="A255" s="191"/>
      <c r="B255" s="168"/>
      <c r="C255" s="188"/>
      <c r="D255" s="189"/>
      <c r="E255" s="189"/>
      <c r="F255" s="189"/>
      <c r="G255" s="189"/>
      <c r="H255" s="189"/>
      <c r="I255" s="189"/>
      <c r="J255" s="190"/>
      <c r="K255" s="190"/>
      <c r="L255" s="189"/>
      <c r="M255" s="189"/>
      <c r="N255" s="189"/>
      <c r="O255" s="190"/>
      <c r="P255" s="190"/>
      <c r="Q255" s="189"/>
      <c r="R255" s="190"/>
      <c r="S255" s="190"/>
      <c r="T255" s="190"/>
      <c r="U255" s="190"/>
      <c r="V255" s="196"/>
    </row>
    <row r="256" spans="1:22">
      <c r="A256" s="191"/>
      <c r="B256" s="192"/>
      <c r="C256" s="193"/>
      <c r="D256" s="194"/>
      <c r="E256" s="194"/>
      <c r="F256" s="194"/>
      <c r="G256" s="194"/>
      <c r="H256" s="194"/>
      <c r="I256" s="194"/>
      <c r="J256" s="195"/>
      <c r="K256" s="195"/>
      <c r="L256" s="194"/>
      <c r="M256" s="194"/>
      <c r="N256" s="194"/>
      <c r="O256" s="195"/>
      <c r="P256" s="195"/>
      <c r="Q256" s="194"/>
      <c r="R256" s="195"/>
      <c r="S256" s="195"/>
      <c r="T256" s="195"/>
      <c r="U256" s="195"/>
      <c r="V256" s="196"/>
    </row>
    <row r="257" spans="1:22" ht="15.75" thickBot="1">
      <c r="A257" s="210"/>
      <c r="B257" s="211"/>
      <c r="C257" s="212"/>
      <c r="D257" s="213"/>
      <c r="E257" s="213"/>
      <c r="F257" s="213"/>
      <c r="G257" s="213"/>
      <c r="H257" s="213"/>
      <c r="I257" s="213"/>
      <c r="J257" s="214"/>
      <c r="K257" s="214"/>
      <c r="L257" s="213"/>
      <c r="M257" s="213"/>
      <c r="N257" s="213"/>
      <c r="O257" s="214"/>
      <c r="P257" s="214"/>
      <c r="Q257" s="213"/>
      <c r="R257" s="214"/>
      <c r="S257" s="214"/>
      <c r="T257" s="214"/>
      <c r="U257" s="214"/>
      <c r="V257" s="196"/>
    </row>
    <row r="258" spans="1:22">
      <c r="A258" s="187"/>
      <c r="B258" s="168"/>
      <c r="C258" s="188"/>
      <c r="D258" s="189"/>
      <c r="E258" s="189"/>
      <c r="F258" s="189"/>
      <c r="G258" s="189"/>
      <c r="H258" s="189"/>
      <c r="I258" s="189"/>
      <c r="J258" s="190"/>
      <c r="K258" s="190"/>
      <c r="L258" s="189"/>
      <c r="M258" s="189"/>
      <c r="N258" s="189"/>
      <c r="O258" s="190"/>
      <c r="P258" s="190"/>
      <c r="Q258" s="189"/>
      <c r="R258" s="190"/>
      <c r="S258" s="190"/>
      <c r="T258" s="190"/>
      <c r="U258" s="190"/>
      <c r="V258" s="196"/>
    </row>
    <row r="259" spans="1:22">
      <c r="A259" s="191"/>
      <c r="B259" s="192"/>
      <c r="C259" s="193"/>
      <c r="D259" s="194"/>
      <c r="E259" s="194"/>
      <c r="F259" s="194"/>
      <c r="G259" s="194"/>
      <c r="H259" s="194"/>
      <c r="I259" s="194"/>
      <c r="J259" s="195"/>
      <c r="K259" s="195"/>
      <c r="L259" s="194"/>
      <c r="M259" s="194"/>
      <c r="N259" s="194"/>
      <c r="O259" s="195"/>
      <c r="P259" s="195"/>
      <c r="Q259" s="194"/>
      <c r="R259" s="195"/>
      <c r="S259" s="195"/>
      <c r="T259" s="195"/>
      <c r="U259" s="195"/>
      <c r="V259" s="196"/>
    </row>
    <row r="260" spans="1:22" s="219" customFormat="1">
      <c r="A260" s="191"/>
      <c r="B260" s="197"/>
      <c r="C260" s="198"/>
      <c r="D260" s="199"/>
      <c r="E260" s="199"/>
      <c r="F260" s="199"/>
      <c r="G260" s="199"/>
      <c r="H260" s="199"/>
      <c r="I260" s="199"/>
      <c r="J260" s="202"/>
      <c r="K260" s="202"/>
      <c r="L260" s="199"/>
      <c r="M260" s="199"/>
      <c r="N260" s="199"/>
      <c r="O260" s="202"/>
      <c r="P260" s="202"/>
      <c r="Q260" s="199"/>
      <c r="R260" s="202"/>
      <c r="S260" s="202"/>
      <c r="T260" s="202"/>
      <c r="U260" s="202"/>
      <c r="V260" s="196"/>
    </row>
    <row r="261" spans="1:22">
      <c r="A261" s="191"/>
      <c r="B261" s="168"/>
      <c r="C261" s="188"/>
      <c r="D261" s="189"/>
      <c r="E261" s="189"/>
      <c r="F261" s="189"/>
      <c r="G261" s="189"/>
      <c r="H261" s="189"/>
      <c r="I261" s="189"/>
      <c r="J261" s="190"/>
      <c r="K261" s="190"/>
      <c r="L261" s="189"/>
      <c r="M261" s="189"/>
      <c r="N261" s="189"/>
      <c r="O261" s="190"/>
      <c r="P261" s="190"/>
      <c r="Q261" s="189"/>
      <c r="R261" s="190"/>
      <c r="S261" s="190"/>
      <c r="T261" s="190"/>
      <c r="U261" s="190"/>
      <c r="V261" s="196"/>
    </row>
    <row r="262" spans="1:22">
      <c r="A262" s="191"/>
      <c r="B262" s="192"/>
      <c r="C262" s="193"/>
      <c r="D262" s="194"/>
      <c r="E262" s="194"/>
      <c r="F262" s="194"/>
      <c r="G262" s="194"/>
      <c r="H262" s="194"/>
      <c r="I262" s="194"/>
      <c r="J262" s="195"/>
      <c r="K262" s="195"/>
      <c r="L262" s="194"/>
      <c r="M262" s="194"/>
      <c r="N262" s="194"/>
      <c r="O262" s="195"/>
      <c r="P262" s="195"/>
      <c r="Q262" s="194"/>
      <c r="R262" s="195"/>
      <c r="S262" s="195"/>
      <c r="T262" s="195"/>
      <c r="U262" s="195"/>
      <c r="V262" s="196"/>
    </row>
    <row r="263" spans="1:22" s="219" customFormat="1">
      <c r="A263" s="191"/>
      <c r="B263" s="197"/>
      <c r="C263" s="198"/>
      <c r="D263" s="199"/>
      <c r="E263" s="199"/>
      <c r="F263" s="199"/>
      <c r="G263" s="199"/>
      <c r="H263" s="199"/>
      <c r="I263" s="199"/>
      <c r="J263" s="202"/>
      <c r="K263" s="202"/>
      <c r="L263" s="199"/>
      <c r="M263" s="199"/>
      <c r="N263" s="199"/>
      <c r="O263" s="202"/>
      <c r="P263" s="202"/>
      <c r="Q263" s="199"/>
      <c r="R263" s="202"/>
      <c r="S263" s="202"/>
      <c r="T263" s="202"/>
      <c r="U263" s="202"/>
      <c r="V263" s="196"/>
    </row>
    <row r="264" spans="1:22">
      <c r="A264" s="191"/>
      <c r="B264" s="168"/>
      <c r="C264" s="188"/>
      <c r="D264" s="189"/>
      <c r="E264" s="189"/>
      <c r="F264" s="189"/>
      <c r="G264" s="189"/>
      <c r="H264" s="189"/>
      <c r="I264" s="189"/>
      <c r="J264" s="190"/>
      <c r="K264" s="190"/>
      <c r="L264" s="189"/>
      <c r="M264" s="189"/>
      <c r="N264" s="189"/>
      <c r="O264" s="190"/>
      <c r="P264" s="190"/>
      <c r="Q264" s="189"/>
      <c r="R264" s="190"/>
      <c r="S264" s="190"/>
      <c r="T264" s="190"/>
      <c r="U264" s="190"/>
      <c r="V264" s="196"/>
    </row>
    <row r="265" spans="1:22">
      <c r="A265" s="191"/>
      <c r="B265" s="192"/>
      <c r="C265" s="193"/>
      <c r="D265" s="194"/>
      <c r="E265" s="194"/>
      <c r="F265" s="194"/>
      <c r="G265" s="194"/>
      <c r="H265" s="194"/>
      <c r="I265" s="194"/>
      <c r="J265" s="195"/>
      <c r="K265" s="195"/>
      <c r="L265" s="194"/>
      <c r="M265" s="194"/>
      <c r="N265" s="194"/>
      <c r="O265" s="195"/>
      <c r="P265" s="195"/>
      <c r="Q265" s="194"/>
      <c r="R265" s="195"/>
      <c r="S265" s="195"/>
      <c r="T265" s="195"/>
      <c r="U265" s="195"/>
      <c r="V265" s="196"/>
    </row>
    <row r="266" spans="1:22" s="219" customFormat="1">
      <c r="A266" s="191"/>
      <c r="B266" s="197"/>
      <c r="C266" s="198"/>
      <c r="D266" s="199"/>
      <c r="E266" s="199"/>
      <c r="F266" s="199"/>
      <c r="G266" s="199"/>
      <c r="H266" s="199"/>
      <c r="I266" s="199"/>
      <c r="J266" s="202"/>
      <c r="K266" s="202"/>
      <c r="L266" s="199"/>
      <c r="M266" s="199"/>
      <c r="N266" s="199"/>
      <c r="O266" s="202"/>
      <c r="P266" s="202"/>
      <c r="Q266" s="199"/>
      <c r="R266" s="202"/>
      <c r="S266" s="202"/>
      <c r="T266" s="202"/>
      <c r="U266" s="202"/>
      <c r="V266" s="196"/>
    </row>
    <row r="267" spans="1:22">
      <c r="A267" s="191"/>
      <c r="B267" s="168"/>
      <c r="C267" s="188"/>
      <c r="D267" s="189"/>
      <c r="E267" s="189"/>
      <c r="F267" s="189"/>
      <c r="G267" s="189"/>
      <c r="H267" s="189"/>
      <c r="I267" s="189"/>
      <c r="J267" s="190"/>
      <c r="K267" s="190"/>
      <c r="L267" s="189"/>
      <c r="M267" s="189"/>
      <c r="N267" s="189"/>
      <c r="O267" s="190"/>
      <c r="P267" s="190"/>
      <c r="Q267" s="189"/>
      <c r="R267" s="190"/>
      <c r="S267" s="190"/>
      <c r="T267" s="190"/>
      <c r="U267" s="190"/>
      <c r="V267" s="196"/>
    </row>
    <row r="268" spans="1:22">
      <c r="A268" s="191"/>
      <c r="B268" s="192"/>
      <c r="C268" s="193"/>
      <c r="D268" s="194"/>
      <c r="E268" s="194"/>
      <c r="F268" s="194"/>
      <c r="G268" s="194"/>
      <c r="H268" s="194"/>
      <c r="I268" s="194"/>
      <c r="J268" s="195"/>
      <c r="K268" s="195"/>
      <c r="L268" s="194"/>
      <c r="M268" s="194"/>
      <c r="N268" s="194"/>
      <c r="O268" s="195"/>
      <c r="P268" s="195"/>
      <c r="Q268" s="194"/>
      <c r="R268" s="195"/>
      <c r="S268" s="195"/>
      <c r="T268" s="195"/>
      <c r="U268" s="195"/>
      <c r="V268" s="196"/>
    </row>
    <row r="269" spans="1:22" s="219" customFormat="1">
      <c r="A269" s="191"/>
      <c r="B269" s="197"/>
      <c r="C269" s="198"/>
      <c r="D269" s="199"/>
      <c r="E269" s="199"/>
      <c r="F269" s="199"/>
      <c r="G269" s="199"/>
      <c r="H269" s="199"/>
      <c r="I269" s="199"/>
      <c r="J269" s="202"/>
      <c r="K269" s="202"/>
      <c r="L269" s="199"/>
      <c r="M269" s="199"/>
      <c r="N269" s="199"/>
      <c r="O269" s="202"/>
      <c r="P269" s="202"/>
      <c r="Q269" s="199"/>
      <c r="R269" s="202"/>
      <c r="S269" s="202"/>
      <c r="T269" s="202"/>
      <c r="U269" s="202"/>
      <c r="V269" s="196"/>
    </row>
    <row r="270" spans="1:22">
      <c r="A270" s="191"/>
      <c r="B270" s="168"/>
      <c r="C270" s="188"/>
      <c r="D270" s="189"/>
      <c r="E270" s="189"/>
      <c r="F270" s="189"/>
      <c r="G270" s="189"/>
      <c r="H270" s="189"/>
      <c r="I270" s="189"/>
      <c r="J270" s="190"/>
      <c r="K270" s="190"/>
      <c r="L270" s="189"/>
      <c r="M270" s="189"/>
      <c r="N270" s="189"/>
      <c r="O270" s="190"/>
      <c r="P270" s="190"/>
      <c r="Q270" s="189"/>
      <c r="R270" s="190"/>
      <c r="S270" s="190"/>
      <c r="T270" s="190"/>
      <c r="U270" s="190"/>
      <c r="V270" s="196"/>
    </row>
    <row r="271" spans="1:22">
      <c r="A271" s="191"/>
      <c r="B271" s="192"/>
      <c r="C271" s="193"/>
      <c r="D271" s="194"/>
      <c r="E271" s="194"/>
      <c r="F271" s="194"/>
      <c r="G271" s="194"/>
      <c r="H271" s="194"/>
      <c r="I271" s="194"/>
      <c r="J271" s="195"/>
      <c r="K271" s="195"/>
      <c r="L271" s="194"/>
      <c r="M271" s="194"/>
      <c r="N271" s="194"/>
      <c r="O271" s="195"/>
      <c r="P271" s="195"/>
      <c r="Q271" s="194"/>
      <c r="R271" s="195"/>
      <c r="S271" s="195"/>
      <c r="T271" s="195"/>
      <c r="U271" s="195"/>
      <c r="V271" s="196"/>
    </row>
    <row r="272" spans="1:22" s="219" customFormat="1">
      <c r="A272" s="191"/>
      <c r="B272" s="197"/>
      <c r="C272" s="198"/>
      <c r="D272" s="199"/>
      <c r="E272" s="199"/>
      <c r="F272" s="199"/>
      <c r="G272" s="199"/>
      <c r="H272" s="199"/>
      <c r="I272" s="199"/>
      <c r="J272" s="202"/>
      <c r="K272" s="202"/>
      <c r="L272" s="199"/>
      <c r="M272" s="199"/>
      <c r="N272" s="199"/>
      <c r="O272" s="202"/>
      <c r="P272" s="202"/>
      <c r="Q272" s="199"/>
      <c r="R272" s="202"/>
      <c r="S272" s="202"/>
      <c r="T272" s="202"/>
      <c r="U272" s="202"/>
      <c r="V272" s="196"/>
    </row>
    <row r="273" spans="1:22">
      <c r="A273" s="191"/>
      <c r="B273" s="168"/>
      <c r="C273" s="188"/>
      <c r="D273" s="189"/>
      <c r="E273" s="189"/>
      <c r="F273" s="189"/>
      <c r="G273" s="189"/>
      <c r="H273" s="189"/>
      <c r="I273" s="189"/>
      <c r="J273" s="190"/>
      <c r="K273" s="190"/>
      <c r="L273" s="189"/>
      <c r="M273" s="189"/>
      <c r="N273" s="189"/>
      <c r="O273" s="190"/>
      <c r="P273" s="190"/>
      <c r="Q273" s="189"/>
      <c r="R273" s="190"/>
      <c r="S273" s="190"/>
      <c r="T273" s="190"/>
      <c r="U273" s="190"/>
      <c r="V273" s="196"/>
    </row>
    <row r="274" spans="1:22">
      <c r="A274" s="191"/>
      <c r="B274" s="192"/>
      <c r="C274" s="193"/>
      <c r="D274" s="194"/>
      <c r="E274" s="194"/>
      <c r="F274" s="194"/>
      <c r="G274" s="194"/>
      <c r="H274" s="194"/>
      <c r="I274" s="194"/>
      <c r="J274" s="195"/>
      <c r="K274" s="195"/>
      <c r="L274" s="194"/>
      <c r="M274" s="194"/>
      <c r="N274" s="194"/>
      <c r="O274" s="195"/>
      <c r="P274" s="195"/>
      <c r="Q274" s="194"/>
      <c r="R274" s="195"/>
      <c r="S274" s="195"/>
      <c r="T274" s="195"/>
      <c r="U274" s="195"/>
      <c r="V274" s="196"/>
    </row>
    <row r="275" spans="1:22" s="219" customFormat="1" ht="15.75" thickBot="1">
      <c r="A275" s="191"/>
      <c r="B275" s="206"/>
      <c r="C275" s="207"/>
      <c r="D275" s="208"/>
      <c r="E275" s="208"/>
      <c r="F275" s="208"/>
      <c r="G275" s="208"/>
      <c r="H275" s="208"/>
      <c r="I275" s="208"/>
      <c r="J275" s="209"/>
      <c r="K275" s="209"/>
      <c r="L275" s="208"/>
      <c r="M275" s="208"/>
      <c r="N275" s="208"/>
      <c r="O275" s="209"/>
      <c r="P275" s="209"/>
      <c r="Q275" s="208"/>
      <c r="R275" s="209"/>
      <c r="S275" s="209"/>
      <c r="T275" s="209"/>
      <c r="U275" s="209"/>
      <c r="V275" s="196"/>
    </row>
    <row r="276" spans="1:22" ht="15.75" thickTop="1">
      <c r="A276" s="191"/>
      <c r="B276" s="192"/>
      <c r="C276" s="193"/>
      <c r="D276" s="194"/>
      <c r="E276" s="194"/>
      <c r="F276" s="194"/>
      <c r="G276" s="194"/>
      <c r="H276" s="194"/>
      <c r="I276" s="194"/>
      <c r="J276" s="195"/>
      <c r="K276" s="195"/>
      <c r="L276" s="194"/>
      <c r="M276" s="194"/>
      <c r="N276" s="194"/>
      <c r="O276" s="195"/>
      <c r="P276" s="195"/>
      <c r="Q276" s="194"/>
      <c r="R276" s="195"/>
      <c r="S276" s="195"/>
      <c r="T276" s="195"/>
      <c r="U276" s="195"/>
      <c r="V276" s="196"/>
    </row>
    <row r="277" spans="1:22">
      <c r="A277" s="191"/>
      <c r="B277" s="192"/>
      <c r="C277" s="193"/>
      <c r="D277" s="194"/>
      <c r="E277" s="194"/>
      <c r="F277" s="194"/>
      <c r="G277" s="194"/>
      <c r="H277" s="194"/>
      <c r="I277" s="194"/>
      <c r="J277" s="195"/>
      <c r="K277" s="195"/>
      <c r="L277" s="194"/>
      <c r="M277" s="194"/>
      <c r="N277" s="194"/>
      <c r="O277" s="195"/>
      <c r="P277" s="195"/>
      <c r="Q277" s="194"/>
      <c r="R277" s="195"/>
      <c r="S277" s="195"/>
      <c r="T277" s="195"/>
      <c r="U277" s="195"/>
      <c r="V277" s="196"/>
    </row>
    <row r="278" spans="1:22" s="219" customFormat="1">
      <c r="A278" s="191"/>
      <c r="B278" s="197"/>
      <c r="C278" s="198"/>
      <c r="D278" s="199"/>
      <c r="E278" s="199"/>
      <c r="F278" s="199"/>
      <c r="G278" s="199"/>
      <c r="H278" s="199"/>
      <c r="I278" s="199"/>
      <c r="J278" s="202"/>
      <c r="K278" s="202"/>
      <c r="L278" s="199"/>
      <c r="M278" s="199"/>
      <c r="N278" s="199"/>
      <c r="O278" s="202"/>
      <c r="P278" s="202"/>
      <c r="Q278" s="199"/>
      <c r="R278" s="202"/>
      <c r="S278" s="202"/>
      <c r="T278" s="202"/>
      <c r="U278" s="202"/>
      <c r="V278" s="196"/>
    </row>
    <row r="279" spans="1:22">
      <c r="A279" s="191"/>
      <c r="B279" s="168"/>
      <c r="C279" s="188"/>
      <c r="D279" s="189"/>
      <c r="E279" s="189"/>
      <c r="F279" s="189"/>
      <c r="G279" s="189"/>
      <c r="H279" s="189"/>
      <c r="I279" s="189"/>
      <c r="J279" s="190"/>
      <c r="K279" s="190"/>
      <c r="L279" s="189"/>
      <c r="M279" s="189"/>
      <c r="N279" s="189"/>
      <c r="O279" s="190"/>
      <c r="P279" s="190"/>
      <c r="Q279" s="189"/>
      <c r="R279" s="190"/>
      <c r="S279" s="190"/>
      <c r="T279" s="190"/>
      <c r="U279" s="190"/>
      <c r="V279" s="196"/>
    </row>
    <row r="280" spans="1:22">
      <c r="A280" s="191"/>
      <c r="B280" s="192"/>
      <c r="C280" s="193"/>
      <c r="D280" s="194"/>
      <c r="E280" s="194"/>
      <c r="F280" s="194"/>
      <c r="G280" s="194"/>
      <c r="H280" s="194"/>
      <c r="I280" s="194"/>
      <c r="J280" s="195"/>
      <c r="K280" s="195"/>
      <c r="L280" s="194"/>
      <c r="M280" s="194"/>
      <c r="N280" s="194"/>
      <c r="O280" s="195"/>
      <c r="P280" s="195"/>
      <c r="Q280" s="194"/>
      <c r="R280" s="195"/>
      <c r="S280" s="195"/>
      <c r="T280" s="195"/>
      <c r="U280" s="195"/>
      <c r="V280" s="196"/>
    </row>
    <row r="281" spans="1:22" s="219" customFormat="1">
      <c r="A281" s="191"/>
      <c r="B281" s="197"/>
      <c r="C281" s="198"/>
      <c r="D281" s="199"/>
      <c r="E281" s="199"/>
      <c r="F281" s="199"/>
      <c r="G281" s="199"/>
      <c r="H281" s="199"/>
      <c r="I281" s="199"/>
      <c r="J281" s="202"/>
      <c r="K281" s="202"/>
      <c r="L281" s="199"/>
      <c r="M281" s="199"/>
      <c r="N281" s="199"/>
      <c r="O281" s="202"/>
      <c r="P281" s="202"/>
      <c r="Q281" s="199"/>
      <c r="R281" s="202"/>
      <c r="S281" s="202"/>
      <c r="T281" s="202"/>
      <c r="U281" s="202"/>
      <c r="V281" s="196"/>
    </row>
    <row r="282" spans="1:22">
      <c r="A282" s="191"/>
      <c r="B282" s="168"/>
      <c r="C282" s="188"/>
      <c r="D282" s="189"/>
      <c r="E282" s="189"/>
      <c r="F282" s="189"/>
      <c r="G282" s="189"/>
      <c r="H282" s="189"/>
      <c r="I282" s="189"/>
      <c r="J282" s="190"/>
      <c r="K282" s="190"/>
      <c r="L282" s="189"/>
      <c r="M282" s="189"/>
      <c r="N282" s="189"/>
      <c r="O282" s="190"/>
      <c r="P282" s="190"/>
      <c r="Q282" s="189"/>
      <c r="R282" s="190"/>
      <c r="S282" s="190"/>
      <c r="T282" s="190"/>
      <c r="U282" s="190"/>
      <c r="V282" s="196"/>
    </row>
    <row r="283" spans="1:22">
      <c r="A283" s="191"/>
      <c r="B283" s="192"/>
      <c r="C283" s="193"/>
      <c r="D283" s="194"/>
      <c r="E283" s="194"/>
      <c r="F283" s="194"/>
      <c r="G283" s="194"/>
      <c r="H283" s="194"/>
      <c r="I283" s="194"/>
      <c r="J283" s="195"/>
      <c r="K283" s="195"/>
      <c r="L283" s="194"/>
      <c r="M283" s="194"/>
      <c r="N283" s="194"/>
      <c r="O283" s="195"/>
      <c r="P283" s="195"/>
      <c r="Q283" s="194"/>
      <c r="R283" s="195"/>
      <c r="S283" s="195"/>
      <c r="T283" s="195"/>
      <c r="U283" s="195"/>
      <c r="V283" s="196"/>
    </row>
    <row r="284" spans="1:22" s="219" customFormat="1">
      <c r="A284" s="191"/>
      <c r="B284" s="197"/>
      <c r="C284" s="198"/>
      <c r="D284" s="199"/>
      <c r="E284" s="201"/>
      <c r="F284" s="199"/>
      <c r="G284" s="199"/>
      <c r="H284" s="199"/>
      <c r="I284" s="199"/>
      <c r="J284" s="202"/>
      <c r="K284" s="202"/>
      <c r="L284" s="199"/>
      <c r="M284" s="199"/>
      <c r="N284" s="199"/>
      <c r="O284" s="202"/>
      <c r="P284" s="202"/>
      <c r="Q284" s="199"/>
      <c r="R284" s="202"/>
      <c r="S284" s="202"/>
      <c r="T284" s="202"/>
      <c r="U284" s="202"/>
      <c r="V284" s="196"/>
    </row>
    <row r="285" spans="1:22">
      <c r="A285" s="191"/>
      <c r="B285" s="168"/>
      <c r="C285" s="188"/>
      <c r="D285" s="189"/>
      <c r="E285" s="189"/>
      <c r="F285" s="189"/>
      <c r="G285" s="189"/>
      <c r="H285" s="189"/>
      <c r="I285" s="189"/>
      <c r="J285" s="190"/>
      <c r="K285" s="190"/>
      <c r="L285" s="189"/>
      <c r="M285" s="189"/>
      <c r="N285" s="189"/>
      <c r="O285" s="190"/>
      <c r="P285" s="190"/>
      <c r="Q285" s="189"/>
      <c r="R285" s="190"/>
      <c r="S285" s="190"/>
      <c r="T285" s="190"/>
      <c r="U285" s="190"/>
      <c r="V285" s="196"/>
    </row>
    <row r="286" spans="1:22">
      <c r="A286" s="191"/>
      <c r="B286" s="192"/>
      <c r="C286" s="193"/>
      <c r="D286" s="194"/>
      <c r="E286" s="194"/>
      <c r="F286" s="194"/>
      <c r="G286" s="194"/>
      <c r="H286" s="194"/>
      <c r="I286" s="194"/>
      <c r="J286" s="195"/>
      <c r="K286" s="195"/>
      <c r="L286" s="194"/>
      <c r="M286" s="194"/>
      <c r="N286" s="194"/>
      <c r="O286" s="195"/>
      <c r="P286" s="195"/>
      <c r="Q286" s="194"/>
      <c r="R286" s="195"/>
      <c r="S286" s="195"/>
      <c r="T286" s="195"/>
      <c r="U286" s="195"/>
      <c r="V286" s="196"/>
    </row>
    <row r="287" spans="1:22" s="219" customFormat="1">
      <c r="A287" s="191"/>
      <c r="B287" s="197"/>
      <c r="C287" s="198"/>
      <c r="D287" s="199"/>
      <c r="E287" s="199"/>
      <c r="F287" s="199"/>
      <c r="G287" s="199"/>
      <c r="H287" s="199"/>
      <c r="I287" s="199"/>
      <c r="J287" s="202"/>
      <c r="K287" s="202"/>
      <c r="L287" s="199"/>
      <c r="M287" s="199"/>
      <c r="N287" s="199"/>
      <c r="O287" s="202"/>
      <c r="P287" s="202"/>
      <c r="Q287" s="199"/>
      <c r="R287" s="202"/>
      <c r="S287" s="202"/>
      <c r="T287" s="202"/>
      <c r="U287" s="202"/>
      <c r="V287" s="196"/>
    </row>
    <row r="288" spans="1:22">
      <c r="A288" s="191"/>
      <c r="B288" s="168"/>
      <c r="C288" s="188"/>
      <c r="D288" s="189"/>
      <c r="E288" s="189"/>
      <c r="F288" s="189"/>
      <c r="G288" s="189"/>
      <c r="H288" s="189"/>
      <c r="I288" s="189"/>
      <c r="J288" s="190"/>
      <c r="K288" s="190"/>
      <c r="L288" s="189"/>
      <c r="M288" s="189"/>
      <c r="N288" s="189"/>
      <c r="O288" s="190"/>
      <c r="P288" s="190"/>
      <c r="Q288" s="189"/>
      <c r="R288" s="190"/>
      <c r="S288" s="190"/>
      <c r="T288" s="190"/>
      <c r="U288" s="190"/>
      <c r="V288" s="196"/>
    </row>
    <row r="289" spans="1:22">
      <c r="A289" s="191"/>
      <c r="B289" s="192"/>
      <c r="C289" s="193"/>
      <c r="D289" s="194"/>
      <c r="E289" s="194"/>
      <c r="F289" s="194"/>
      <c r="G289" s="194"/>
      <c r="H289" s="194"/>
      <c r="I289" s="194"/>
      <c r="J289" s="195"/>
      <c r="K289" s="195"/>
      <c r="L289" s="194"/>
      <c r="M289" s="194"/>
      <c r="N289" s="194"/>
      <c r="O289" s="195"/>
      <c r="P289" s="195"/>
      <c r="Q289" s="194"/>
      <c r="R289" s="195"/>
      <c r="S289" s="195"/>
      <c r="T289" s="195"/>
      <c r="U289" s="195"/>
      <c r="V289" s="196"/>
    </row>
    <row r="290" spans="1:22" s="219" customFormat="1">
      <c r="A290" s="191"/>
      <c r="B290" s="197"/>
      <c r="C290" s="198"/>
      <c r="D290" s="199"/>
      <c r="E290" s="199"/>
      <c r="F290" s="199"/>
      <c r="G290" s="199"/>
      <c r="H290" s="199"/>
      <c r="I290" s="199"/>
      <c r="J290" s="202"/>
      <c r="K290" s="202"/>
      <c r="L290" s="199"/>
      <c r="M290" s="199"/>
      <c r="N290" s="199"/>
      <c r="O290" s="202"/>
      <c r="P290" s="202"/>
      <c r="Q290" s="199"/>
      <c r="R290" s="202"/>
      <c r="S290" s="202"/>
      <c r="T290" s="202"/>
      <c r="U290" s="202"/>
      <c r="V290" s="196"/>
    </row>
    <row r="291" spans="1:22">
      <c r="A291" s="191"/>
      <c r="B291" s="168"/>
      <c r="C291" s="188"/>
      <c r="D291" s="189"/>
      <c r="E291" s="189"/>
      <c r="F291" s="189"/>
      <c r="G291" s="189"/>
      <c r="H291" s="189"/>
      <c r="I291" s="189"/>
      <c r="J291" s="190"/>
      <c r="K291" s="190"/>
      <c r="L291" s="189"/>
      <c r="M291" s="189"/>
      <c r="N291" s="189"/>
      <c r="O291" s="190"/>
      <c r="P291" s="190"/>
      <c r="Q291" s="189"/>
      <c r="R291" s="190"/>
      <c r="S291" s="190"/>
      <c r="T291" s="190"/>
      <c r="U291" s="190"/>
      <c r="V291" s="196"/>
    </row>
    <row r="292" spans="1:22">
      <c r="A292" s="191"/>
      <c r="B292" s="192"/>
      <c r="C292" s="193"/>
      <c r="D292" s="194"/>
      <c r="E292" s="194"/>
      <c r="F292" s="194"/>
      <c r="G292" s="194"/>
      <c r="H292" s="194"/>
      <c r="I292" s="194"/>
      <c r="J292" s="195"/>
      <c r="K292" s="195"/>
      <c r="L292" s="194"/>
      <c r="M292" s="194"/>
      <c r="N292" s="194"/>
      <c r="O292" s="195"/>
      <c r="P292" s="195"/>
      <c r="Q292" s="194"/>
      <c r="R292" s="195"/>
      <c r="S292" s="195"/>
      <c r="T292" s="195"/>
      <c r="U292" s="195"/>
      <c r="V292" s="196"/>
    </row>
    <row r="293" spans="1:22" s="219" customFormat="1" ht="15.75" thickBot="1">
      <c r="A293" s="210"/>
      <c r="B293" s="211"/>
      <c r="C293" s="212"/>
      <c r="D293" s="213"/>
      <c r="E293" s="213"/>
      <c r="F293" s="213"/>
      <c r="G293" s="213"/>
      <c r="H293" s="213"/>
      <c r="I293" s="213"/>
      <c r="J293" s="214"/>
      <c r="K293" s="214"/>
      <c r="L293" s="213"/>
      <c r="M293" s="213"/>
      <c r="N293" s="213"/>
      <c r="O293" s="214"/>
      <c r="P293" s="214"/>
      <c r="Q293" s="213"/>
      <c r="R293" s="214"/>
      <c r="S293" s="214"/>
      <c r="T293" s="214"/>
      <c r="U293" s="214"/>
      <c r="V293" s="196"/>
    </row>
    <row r="294" spans="1:22">
      <c r="A294" s="187"/>
      <c r="B294" s="168"/>
      <c r="C294" s="188"/>
      <c r="D294" s="189"/>
      <c r="E294" s="189"/>
      <c r="F294" s="189"/>
      <c r="G294" s="189"/>
      <c r="H294" s="189"/>
      <c r="I294" s="189"/>
      <c r="J294" s="190"/>
      <c r="K294" s="190"/>
      <c r="L294" s="189"/>
      <c r="M294" s="189"/>
      <c r="N294" s="189"/>
      <c r="O294" s="190"/>
      <c r="P294" s="190"/>
      <c r="Q294" s="189"/>
      <c r="R294" s="190"/>
      <c r="S294" s="190"/>
      <c r="T294" s="190"/>
      <c r="U294" s="190"/>
      <c r="V294" s="196"/>
    </row>
    <row r="295" spans="1:22">
      <c r="A295" s="191"/>
      <c r="B295" s="192"/>
      <c r="C295" s="193"/>
      <c r="D295" s="194"/>
      <c r="E295" s="194"/>
      <c r="F295" s="194"/>
      <c r="G295" s="194"/>
      <c r="H295" s="194"/>
      <c r="I295" s="194"/>
      <c r="J295" s="195"/>
      <c r="K295" s="195"/>
      <c r="L295" s="194"/>
      <c r="M295" s="194"/>
      <c r="N295" s="194"/>
      <c r="O295" s="195"/>
      <c r="P295" s="195"/>
      <c r="Q295" s="194"/>
      <c r="R295" s="195"/>
      <c r="S295" s="195"/>
      <c r="T295" s="195"/>
      <c r="U295" s="195"/>
      <c r="V295" s="196"/>
    </row>
    <row r="296" spans="1:22" s="219" customFormat="1">
      <c r="A296" s="191"/>
      <c r="B296" s="197"/>
      <c r="C296" s="198"/>
      <c r="D296" s="199"/>
      <c r="E296" s="199"/>
      <c r="F296" s="199"/>
      <c r="G296" s="199"/>
      <c r="H296" s="199"/>
      <c r="I296" s="199"/>
      <c r="J296" s="202"/>
      <c r="K296" s="202"/>
      <c r="L296" s="199"/>
      <c r="M296" s="199"/>
      <c r="N296" s="199"/>
      <c r="O296" s="202"/>
      <c r="P296" s="202"/>
      <c r="Q296" s="199"/>
      <c r="R296" s="202"/>
      <c r="S296" s="202"/>
      <c r="T296" s="202"/>
      <c r="U296" s="202"/>
      <c r="V296" s="196"/>
    </row>
    <row r="297" spans="1:22">
      <c r="A297" s="191"/>
      <c r="B297" s="168"/>
      <c r="C297" s="188"/>
      <c r="D297" s="189"/>
      <c r="E297" s="189"/>
      <c r="F297" s="189"/>
      <c r="G297" s="189"/>
      <c r="H297" s="189"/>
      <c r="I297" s="189"/>
      <c r="J297" s="190"/>
      <c r="K297" s="190"/>
      <c r="L297" s="189"/>
      <c r="M297" s="189"/>
      <c r="N297" s="189"/>
      <c r="O297" s="190"/>
      <c r="P297" s="190"/>
      <c r="Q297" s="189"/>
      <c r="R297" s="190"/>
      <c r="S297" s="190"/>
      <c r="T297" s="190"/>
      <c r="U297" s="190"/>
      <c r="V297" s="196"/>
    </row>
    <row r="298" spans="1:22">
      <c r="A298" s="191"/>
      <c r="B298" s="192"/>
      <c r="C298" s="193"/>
      <c r="D298" s="194"/>
      <c r="E298" s="194"/>
      <c r="F298" s="194"/>
      <c r="G298" s="194"/>
      <c r="H298" s="194"/>
      <c r="I298" s="194"/>
      <c r="J298" s="195"/>
      <c r="K298" s="195"/>
      <c r="L298" s="194"/>
      <c r="M298" s="194"/>
      <c r="N298" s="194"/>
      <c r="O298" s="195"/>
      <c r="P298" s="195"/>
      <c r="Q298" s="194"/>
      <c r="R298" s="195"/>
      <c r="S298" s="195"/>
      <c r="T298" s="195"/>
      <c r="U298" s="195"/>
      <c r="V298" s="196"/>
    </row>
    <row r="299" spans="1:22" s="219" customFormat="1">
      <c r="A299" s="191"/>
      <c r="B299" s="197"/>
      <c r="C299" s="198"/>
      <c r="D299" s="199"/>
      <c r="E299" s="199"/>
      <c r="F299" s="199"/>
      <c r="G299" s="199"/>
      <c r="H299" s="199"/>
      <c r="I299" s="199"/>
      <c r="J299" s="202"/>
      <c r="K299" s="202"/>
      <c r="L299" s="199"/>
      <c r="M299" s="199"/>
      <c r="N299" s="199"/>
      <c r="O299" s="202"/>
      <c r="P299" s="202"/>
      <c r="Q299" s="199"/>
      <c r="R299" s="202"/>
      <c r="S299" s="202"/>
      <c r="T299" s="202"/>
      <c r="U299" s="202"/>
      <c r="V299" s="196"/>
    </row>
    <row r="300" spans="1:22">
      <c r="A300" s="191"/>
      <c r="B300" s="168"/>
      <c r="C300" s="188"/>
      <c r="D300" s="189"/>
      <c r="E300" s="189"/>
      <c r="F300" s="189"/>
      <c r="G300" s="189"/>
      <c r="H300" s="189"/>
      <c r="I300" s="189"/>
      <c r="J300" s="190"/>
      <c r="K300" s="190"/>
      <c r="L300" s="189"/>
      <c r="M300" s="189"/>
      <c r="N300" s="189"/>
      <c r="O300" s="190"/>
      <c r="P300" s="190"/>
      <c r="Q300" s="189"/>
      <c r="R300" s="190"/>
      <c r="S300" s="190"/>
      <c r="T300" s="190"/>
      <c r="U300" s="190"/>
      <c r="V300" s="196"/>
    </row>
    <row r="301" spans="1:22">
      <c r="A301" s="191"/>
      <c r="B301" s="192"/>
      <c r="C301" s="193"/>
      <c r="D301" s="194"/>
      <c r="E301" s="194"/>
      <c r="F301" s="194"/>
      <c r="G301" s="194"/>
      <c r="H301" s="194"/>
      <c r="I301" s="194"/>
      <c r="J301" s="195"/>
      <c r="K301" s="195"/>
      <c r="L301" s="194"/>
      <c r="M301" s="194"/>
      <c r="N301" s="194"/>
      <c r="O301" s="195"/>
      <c r="P301" s="195"/>
      <c r="Q301" s="194"/>
      <c r="R301" s="195"/>
      <c r="S301" s="195"/>
      <c r="T301" s="195"/>
      <c r="U301" s="195"/>
      <c r="V301" s="196"/>
    </row>
    <row r="302" spans="1:22" s="219" customFormat="1">
      <c r="A302" s="191"/>
      <c r="B302" s="197"/>
      <c r="C302" s="198"/>
      <c r="D302" s="199"/>
      <c r="E302" s="199"/>
      <c r="F302" s="199"/>
      <c r="G302" s="199"/>
      <c r="H302" s="199"/>
      <c r="I302" s="199"/>
      <c r="J302" s="202"/>
      <c r="K302" s="202"/>
      <c r="L302" s="199"/>
      <c r="M302" s="199"/>
      <c r="N302" s="199"/>
      <c r="O302" s="202"/>
      <c r="P302" s="202"/>
      <c r="Q302" s="199"/>
      <c r="R302" s="202"/>
      <c r="S302" s="202"/>
      <c r="T302" s="202"/>
      <c r="U302" s="202"/>
      <c r="V302" s="196"/>
    </row>
    <row r="303" spans="1:22">
      <c r="A303" s="191"/>
      <c r="B303" s="168"/>
      <c r="C303" s="188"/>
      <c r="D303" s="189"/>
      <c r="E303" s="189"/>
      <c r="F303" s="189"/>
      <c r="G303" s="189"/>
      <c r="H303" s="189"/>
      <c r="I303" s="189"/>
      <c r="J303" s="190"/>
      <c r="K303" s="190"/>
      <c r="L303" s="189"/>
      <c r="M303" s="189"/>
      <c r="N303" s="189"/>
      <c r="O303" s="190"/>
      <c r="P303" s="190"/>
      <c r="Q303" s="189"/>
      <c r="R303" s="190"/>
      <c r="S303" s="190"/>
      <c r="T303" s="190"/>
      <c r="U303" s="190"/>
      <c r="V303" s="196"/>
    </row>
    <row r="304" spans="1:22">
      <c r="A304" s="191"/>
      <c r="B304" s="192"/>
      <c r="C304" s="193"/>
      <c r="D304" s="194"/>
      <c r="E304" s="194"/>
      <c r="F304" s="194"/>
      <c r="G304" s="194"/>
      <c r="H304" s="194"/>
      <c r="I304" s="194"/>
      <c r="J304" s="195"/>
      <c r="K304" s="195"/>
      <c r="L304" s="194"/>
      <c r="M304" s="194"/>
      <c r="N304" s="194"/>
      <c r="O304" s="195"/>
      <c r="P304" s="195"/>
      <c r="Q304" s="194"/>
      <c r="R304" s="195"/>
      <c r="S304" s="195"/>
      <c r="T304" s="195"/>
      <c r="U304" s="195"/>
      <c r="V304" s="196"/>
    </row>
    <row r="305" spans="1:22" s="219" customFormat="1">
      <c r="A305" s="191"/>
      <c r="B305" s="197"/>
      <c r="C305" s="198"/>
      <c r="D305" s="199"/>
      <c r="E305" s="199"/>
      <c r="F305" s="199"/>
      <c r="G305" s="199"/>
      <c r="H305" s="199"/>
      <c r="I305" s="199"/>
      <c r="J305" s="202"/>
      <c r="K305" s="202"/>
      <c r="L305" s="199"/>
      <c r="M305" s="199"/>
      <c r="N305" s="199"/>
      <c r="O305" s="202"/>
      <c r="P305" s="202"/>
      <c r="Q305" s="199"/>
      <c r="R305" s="202"/>
      <c r="S305" s="202"/>
      <c r="T305" s="202"/>
      <c r="U305" s="202"/>
      <c r="V305" s="196"/>
    </row>
    <row r="306" spans="1:22">
      <c r="A306" s="191"/>
      <c r="B306" s="168"/>
      <c r="C306" s="188"/>
      <c r="D306" s="189"/>
      <c r="E306" s="189"/>
      <c r="F306" s="189"/>
      <c r="G306" s="189"/>
      <c r="H306" s="189"/>
      <c r="I306" s="189"/>
      <c r="J306" s="190"/>
      <c r="K306" s="190"/>
      <c r="L306" s="189"/>
      <c r="M306" s="189"/>
      <c r="N306" s="189"/>
      <c r="O306" s="190"/>
      <c r="P306" s="190"/>
      <c r="Q306" s="189"/>
      <c r="R306" s="190"/>
      <c r="S306" s="190"/>
      <c r="T306" s="190"/>
      <c r="U306" s="190"/>
      <c r="V306" s="196"/>
    </row>
    <row r="307" spans="1:22">
      <c r="A307" s="191"/>
      <c r="B307" s="192"/>
      <c r="C307" s="193"/>
      <c r="D307" s="194"/>
      <c r="E307" s="194"/>
      <c r="F307" s="194"/>
      <c r="G307" s="194"/>
      <c r="H307" s="194"/>
      <c r="I307" s="194"/>
      <c r="J307" s="195"/>
      <c r="K307" s="195"/>
      <c r="L307" s="194"/>
      <c r="M307" s="194"/>
      <c r="N307" s="194"/>
      <c r="O307" s="195"/>
      <c r="P307" s="195"/>
      <c r="Q307" s="194"/>
      <c r="R307" s="195"/>
      <c r="S307" s="195"/>
      <c r="T307" s="195"/>
      <c r="U307" s="195"/>
      <c r="V307" s="196"/>
    </row>
    <row r="308" spans="1:22" s="219" customFormat="1">
      <c r="A308" s="191"/>
      <c r="B308" s="197"/>
      <c r="C308" s="198"/>
      <c r="D308" s="199"/>
      <c r="E308" s="199"/>
      <c r="F308" s="199"/>
      <c r="G308" s="199"/>
      <c r="H308" s="199"/>
      <c r="I308" s="199"/>
      <c r="J308" s="202"/>
      <c r="K308" s="202"/>
      <c r="L308" s="199"/>
      <c r="M308" s="199"/>
      <c r="N308" s="199"/>
      <c r="O308" s="202"/>
      <c r="P308" s="202"/>
      <c r="Q308" s="199"/>
      <c r="R308" s="202"/>
      <c r="S308" s="202"/>
      <c r="T308" s="202"/>
      <c r="U308" s="202"/>
      <c r="V308" s="196"/>
    </row>
    <row r="309" spans="1:22">
      <c r="A309" s="191"/>
      <c r="B309" s="168"/>
      <c r="C309" s="188"/>
      <c r="D309" s="189"/>
      <c r="E309" s="189"/>
      <c r="F309" s="189"/>
      <c r="G309" s="189"/>
      <c r="H309" s="189"/>
      <c r="I309" s="189"/>
      <c r="J309" s="190"/>
      <c r="K309" s="190"/>
      <c r="L309" s="189"/>
      <c r="M309" s="189"/>
      <c r="N309" s="189"/>
      <c r="O309" s="190"/>
      <c r="P309" s="190"/>
      <c r="Q309" s="189"/>
      <c r="R309" s="190"/>
      <c r="S309" s="190"/>
      <c r="T309" s="190"/>
      <c r="U309" s="190"/>
      <c r="V309" s="196"/>
    </row>
    <row r="310" spans="1:22">
      <c r="A310" s="191"/>
      <c r="B310" s="192"/>
      <c r="C310" s="193"/>
      <c r="D310" s="194"/>
      <c r="E310" s="194"/>
      <c r="F310" s="194"/>
      <c r="G310" s="194"/>
      <c r="H310" s="194"/>
      <c r="I310" s="194"/>
      <c r="J310" s="195"/>
      <c r="K310" s="195"/>
      <c r="L310" s="194"/>
      <c r="M310" s="194"/>
      <c r="N310" s="194"/>
      <c r="O310" s="195"/>
      <c r="P310" s="195"/>
      <c r="Q310" s="194"/>
      <c r="R310" s="195"/>
      <c r="S310" s="195"/>
      <c r="T310" s="195"/>
      <c r="U310" s="195"/>
      <c r="V310" s="196"/>
    </row>
    <row r="311" spans="1:22" s="219" customFormat="1" ht="15.75" thickBot="1">
      <c r="A311" s="191"/>
      <c r="B311" s="206"/>
      <c r="C311" s="207"/>
      <c r="D311" s="208"/>
      <c r="E311" s="208"/>
      <c r="F311" s="208"/>
      <c r="G311" s="208"/>
      <c r="H311" s="208"/>
      <c r="I311" s="208"/>
      <c r="J311" s="209"/>
      <c r="K311" s="209"/>
      <c r="L311" s="208"/>
      <c r="M311" s="208"/>
      <c r="N311" s="208"/>
      <c r="O311" s="209"/>
      <c r="P311" s="209"/>
      <c r="Q311" s="208"/>
      <c r="R311" s="209"/>
      <c r="S311" s="209"/>
      <c r="T311" s="209"/>
      <c r="U311" s="209"/>
      <c r="V311" s="196"/>
    </row>
    <row r="312" spans="1:22" ht="15.75" thickTop="1">
      <c r="A312" s="191"/>
      <c r="B312" s="192"/>
      <c r="C312" s="193"/>
      <c r="D312" s="194"/>
      <c r="E312" s="194"/>
      <c r="F312" s="194"/>
      <c r="G312" s="194"/>
      <c r="H312" s="194"/>
      <c r="I312" s="194"/>
      <c r="J312" s="195"/>
      <c r="K312" s="195"/>
      <c r="L312" s="194"/>
      <c r="M312" s="194"/>
      <c r="N312" s="194"/>
      <c r="O312" s="195"/>
      <c r="P312" s="195"/>
      <c r="Q312" s="194"/>
      <c r="R312" s="195"/>
      <c r="S312" s="195"/>
      <c r="T312" s="195"/>
      <c r="U312" s="195"/>
      <c r="V312" s="196"/>
    </row>
    <row r="313" spans="1:22">
      <c r="A313" s="191"/>
      <c r="B313" s="192"/>
      <c r="C313" s="193"/>
      <c r="D313" s="194"/>
      <c r="E313" s="194"/>
      <c r="F313" s="194"/>
      <c r="G313" s="194"/>
      <c r="H313" s="194"/>
      <c r="I313" s="194"/>
      <c r="J313" s="195"/>
      <c r="K313" s="195"/>
      <c r="L313" s="194"/>
      <c r="M313" s="194"/>
      <c r="N313" s="194"/>
      <c r="O313" s="195"/>
      <c r="P313" s="195"/>
      <c r="Q313" s="194"/>
      <c r="R313" s="195"/>
      <c r="S313" s="195"/>
      <c r="T313" s="195"/>
      <c r="U313" s="195"/>
      <c r="V313" s="196"/>
    </row>
    <row r="314" spans="1:22" s="219" customFormat="1">
      <c r="A314" s="191"/>
      <c r="B314" s="197"/>
      <c r="C314" s="198"/>
      <c r="D314" s="199"/>
      <c r="E314" s="199"/>
      <c r="F314" s="201"/>
      <c r="G314" s="201"/>
      <c r="H314" s="199"/>
      <c r="I314" s="199"/>
      <c r="J314" s="202"/>
      <c r="K314" s="202"/>
      <c r="L314" s="199"/>
      <c r="M314" s="199"/>
      <c r="N314" s="199"/>
      <c r="O314" s="202"/>
      <c r="P314" s="202"/>
      <c r="Q314" s="199"/>
      <c r="R314" s="202"/>
      <c r="S314" s="202"/>
      <c r="T314" s="202"/>
      <c r="U314" s="202"/>
      <c r="V314" s="196"/>
    </row>
    <row r="315" spans="1:22">
      <c r="A315" s="191"/>
      <c r="B315" s="168"/>
      <c r="C315" s="188"/>
      <c r="D315" s="189"/>
      <c r="E315" s="189"/>
      <c r="F315" s="189"/>
      <c r="G315" s="189"/>
      <c r="H315" s="189"/>
      <c r="I315" s="189"/>
      <c r="J315" s="190"/>
      <c r="K315" s="190"/>
      <c r="L315" s="189"/>
      <c r="M315" s="189"/>
      <c r="N315" s="189"/>
      <c r="O315" s="190"/>
      <c r="P315" s="190"/>
      <c r="Q315" s="189"/>
      <c r="R315" s="190"/>
      <c r="S315" s="190"/>
      <c r="T315" s="190"/>
      <c r="U315" s="190"/>
      <c r="V315" s="196"/>
    </row>
    <row r="316" spans="1:22">
      <c r="A316" s="191"/>
      <c r="B316" s="192"/>
      <c r="C316" s="193"/>
      <c r="D316" s="194"/>
      <c r="E316" s="194"/>
      <c r="F316" s="194"/>
      <c r="G316" s="194"/>
      <c r="H316" s="194"/>
      <c r="I316" s="194"/>
      <c r="J316" s="195"/>
      <c r="K316" s="195"/>
      <c r="L316" s="194"/>
      <c r="M316" s="194"/>
      <c r="N316" s="194"/>
      <c r="O316" s="195"/>
      <c r="P316" s="195"/>
      <c r="Q316" s="194"/>
      <c r="R316" s="195"/>
      <c r="S316" s="195"/>
      <c r="T316" s="195"/>
      <c r="U316" s="195"/>
      <c r="V316" s="196"/>
    </row>
    <row r="317" spans="1:22" s="219" customFormat="1">
      <c r="A317" s="191"/>
      <c r="B317" s="197"/>
      <c r="C317" s="198"/>
      <c r="D317" s="199"/>
      <c r="E317" s="199"/>
      <c r="F317" s="199"/>
      <c r="G317" s="199"/>
      <c r="H317" s="199"/>
      <c r="I317" s="199"/>
      <c r="J317" s="202"/>
      <c r="K317" s="202"/>
      <c r="L317" s="199"/>
      <c r="M317" s="199"/>
      <c r="N317" s="199"/>
      <c r="O317" s="202"/>
      <c r="P317" s="202"/>
      <c r="Q317" s="199"/>
      <c r="R317" s="202"/>
      <c r="S317" s="202"/>
      <c r="T317" s="202"/>
      <c r="U317" s="202"/>
      <c r="V317" s="196"/>
    </row>
    <row r="318" spans="1:22">
      <c r="A318" s="191"/>
      <c r="B318" s="168"/>
      <c r="C318" s="188"/>
      <c r="D318" s="189"/>
      <c r="E318" s="189"/>
      <c r="F318" s="189"/>
      <c r="G318" s="189"/>
      <c r="H318" s="189"/>
      <c r="I318" s="189"/>
      <c r="J318" s="190"/>
      <c r="K318" s="190"/>
      <c r="L318" s="189"/>
      <c r="M318" s="189"/>
      <c r="N318" s="189"/>
      <c r="O318" s="190"/>
      <c r="P318" s="190"/>
      <c r="Q318" s="189"/>
      <c r="R318" s="190"/>
      <c r="S318" s="190"/>
      <c r="T318" s="190"/>
      <c r="U318" s="190"/>
      <c r="V318" s="196"/>
    </row>
    <row r="319" spans="1:22">
      <c r="A319" s="191"/>
      <c r="B319" s="192"/>
      <c r="C319" s="193"/>
      <c r="D319" s="194"/>
      <c r="E319" s="194"/>
      <c r="F319" s="194"/>
      <c r="G319" s="194"/>
      <c r="H319" s="194"/>
      <c r="I319" s="194"/>
      <c r="J319" s="195"/>
      <c r="K319" s="195"/>
      <c r="L319" s="194"/>
      <c r="M319" s="194"/>
      <c r="N319" s="194"/>
      <c r="O319" s="195"/>
      <c r="P319" s="195"/>
      <c r="Q319" s="194"/>
      <c r="R319" s="195"/>
      <c r="S319" s="195"/>
      <c r="T319" s="195"/>
      <c r="U319" s="195"/>
      <c r="V319" s="196"/>
    </row>
    <row r="320" spans="1:22" s="219" customFormat="1">
      <c r="A320" s="191"/>
      <c r="B320" s="197"/>
      <c r="C320" s="198"/>
      <c r="D320" s="199"/>
      <c r="E320" s="199"/>
      <c r="F320" s="201"/>
      <c r="G320" s="199"/>
      <c r="H320" s="199"/>
      <c r="I320" s="199"/>
      <c r="J320" s="202"/>
      <c r="K320" s="202"/>
      <c r="L320" s="199"/>
      <c r="M320" s="199"/>
      <c r="N320" s="199"/>
      <c r="O320" s="202"/>
      <c r="P320" s="202"/>
      <c r="Q320" s="199"/>
      <c r="R320" s="202"/>
      <c r="S320" s="202"/>
      <c r="T320" s="202"/>
      <c r="U320" s="202"/>
      <c r="V320" s="196"/>
    </row>
    <row r="321" spans="1:22">
      <c r="A321" s="191"/>
      <c r="B321" s="168"/>
      <c r="C321" s="188"/>
      <c r="D321" s="189"/>
      <c r="E321" s="189"/>
      <c r="F321" s="189"/>
      <c r="G321" s="189"/>
      <c r="H321" s="189"/>
      <c r="I321" s="189"/>
      <c r="J321" s="190"/>
      <c r="K321" s="190"/>
      <c r="L321" s="189"/>
      <c r="M321" s="189"/>
      <c r="N321" s="189"/>
      <c r="O321" s="190"/>
      <c r="P321" s="190"/>
      <c r="Q321" s="189"/>
      <c r="R321" s="190"/>
      <c r="S321" s="190"/>
      <c r="T321" s="190"/>
      <c r="U321" s="190"/>
      <c r="V321" s="196"/>
    </row>
    <row r="322" spans="1:22">
      <c r="A322" s="191"/>
      <c r="B322" s="192"/>
      <c r="C322" s="193"/>
      <c r="D322" s="194"/>
      <c r="E322" s="194"/>
      <c r="F322" s="194"/>
      <c r="G322" s="194"/>
      <c r="H322" s="194"/>
      <c r="I322" s="194"/>
      <c r="J322" s="195"/>
      <c r="K322" s="195"/>
      <c r="L322" s="194"/>
      <c r="M322" s="194"/>
      <c r="N322" s="194"/>
      <c r="O322" s="195"/>
      <c r="P322" s="195"/>
      <c r="Q322" s="194"/>
      <c r="R322" s="195"/>
      <c r="S322" s="195"/>
      <c r="T322" s="195"/>
      <c r="U322" s="195"/>
      <c r="V322" s="196"/>
    </row>
    <row r="323" spans="1:22" s="219" customFormat="1">
      <c r="A323" s="191"/>
      <c r="B323" s="197"/>
      <c r="C323" s="198"/>
      <c r="D323" s="199"/>
      <c r="E323" s="199"/>
      <c r="F323" s="199"/>
      <c r="G323" s="199"/>
      <c r="H323" s="199"/>
      <c r="I323" s="199"/>
      <c r="J323" s="202"/>
      <c r="K323" s="202"/>
      <c r="L323" s="199"/>
      <c r="M323" s="199"/>
      <c r="N323" s="199"/>
      <c r="O323" s="202"/>
      <c r="P323" s="202"/>
      <c r="Q323" s="199"/>
      <c r="R323" s="202"/>
      <c r="S323" s="202"/>
      <c r="T323" s="202"/>
      <c r="U323" s="202"/>
      <c r="V323" s="196"/>
    </row>
    <row r="324" spans="1:22">
      <c r="A324" s="191"/>
      <c r="B324" s="168"/>
      <c r="C324" s="188"/>
      <c r="D324" s="189"/>
      <c r="E324" s="189"/>
      <c r="F324" s="189"/>
      <c r="G324" s="189"/>
      <c r="H324" s="189"/>
      <c r="I324" s="189"/>
      <c r="J324" s="190"/>
      <c r="K324" s="190"/>
      <c r="L324" s="189"/>
      <c r="M324" s="189"/>
      <c r="N324" s="189"/>
      <c r="O324" s="190"/>
      <c r="P324" s="190"/>
      <c r="Q324" s="189"/>
      <c r="R324" s="190"/>
      <c r="S324" s="190"/>
      <c r="T324" s="190"/>
      <c r="U324" s="190"/>
      <c r="V324" s="196"/>
    </row>
    <row r="325" spans="1:22">
      <c r="A325" s="191"/>
      <c r="B325" s="192"/>
      <c r="C325" s="193"/>
      <c r="D325" s="194"/>
      <c r="E325" s="194"/>
      <c r="F325" s="194"/>
      <c r="G325" s="194"/>
      <c r="H325" s="194"/>
      <c r="I325" s="194"/>
      <c r="J325" s="195"/>
      <c r="K325" s="195"/>
      <c r="L325" s="194"/>
      <c r="M325" s="194"/>
      <c r="N325" s="194"/>
      <c r="O325" s="195"/>
      <c r="P325" s="195"/>
      <c r="Q325" s="194"/>
      <c r="R325" s="195"/>
      <c r="S325" s="195"/>
      <c r="T325" s="195"/>
      <c r="U325" s="195"/>
      <c r="V325" s="196"/>
    </row>
    <row r="326" spans="1:22" s="219" customFormat="1">
      <c r="A326" s="191"/>
      <c r="B326" s="197"/>
      <c r="C326" s="198"/>
      <c r="D326" s="199"/>
      <c r="E326" s="199"/>
      <c r="F326" s="199"/>
      <c r="G326" s="199"/>
      <c r="H326" s="199"/>
      <c r="I326" s="199"/>
      <c r="J326" s="202"/>
      <c r="K326" s="202"/>
      <c r="L326" s="199"/>
      <c r="M326" s="199"/>
      <c r="N326" s="199"/>
      <c r="O326" s="202"/>
      <c r="P326" s="202"/>
      <c r="Q326" s="199"/>
      <c r="R326" s="202"/>
      <c r="S326" s="202"/>
      <c r="T326" s="202"/>
      <c r="U326" s="202"/>
      <c r="V326" s="196"/>
    </row>
    <row r="327" spans="1:22">
      <c r="A327" s="191"/>
      <c r="B327" s="168"/>
      <c r="C327" s="188"/>
      <c r="D327" s="189"/>
      <c r="E327" s="189"/>
      <c r="F327" s="189"/>
      <c r="G327" s="189"/>
      <c r="H327" s="189"/>
      <c r="I327" s="189"/>
      <c r="J327" s="190"/>
      <c r="K327" s="190"/>
      <c r="L327" s="189"/>
      <c r="M327" s="189"/>
      <c r="N327" s="189"/>
      <c r="O327" s="190"/>
      <c r="P327" s="190"/>
      <c r="Q327" s="189"/>
      <c r="R327" s="190"/>
      <c r="S327" s="190"/>
      <c r="T327" s="190"/>
      <c r="U327" s="190"/>
      <c r="V327" s="196"/>
    </row>
    <row r="328" spans="1:22">
      <c r="A328" s="191"/>
      <c r="B328" s="192"/>
      <c r="C328" s="205"/>
      <c r="D328" s="194"/>
      <c r="E328" s="194"/>
      <c r="F328" s="194"/>
      <c r="G328" s="194"/>
      <c r="H328" s="194"/>
      <c r="I328" s="194"/>
      <c r="J328" s="195"/>
      <c r="K328" s="195"/>
      <c r="L328" s="194"/>
      <c r="M328" s="194"/>
      <c r="N328" s="194"/>
      <c r="O328" s="195"/>
      <c r="P328" s="195"/>
      <c r="Q328" s="194"/>
      <c r="R328" s="195"/>
      <c r="S328" s="195"/>
      <c r="T328" s="195"/>
      <c r="U328" s="195"/>
      <c r="V328" s="196"/>
    </row>
    <row r="329" spans="1:22" s="219" customFormat="1" ht="15.75" thickBot="1">
      <c r="A329" s="210"/>
      <c r="B329" s="211"/>
      <c r="C329" s="212"/>
      <c r="D329" s="213"/>
      <c r="E329" s="213"/>
      <c r="F329" s="213"/>
      <c r="G329" s="213"/>
      <c r="H329" s="213"/>
      <c r="I329" s="213"/>
      <c r="J329" s="214"/>
      <c r="K329" s="214"/>
      <c r="L329" s="213"/>
      <c r="M329" s="213"/>
      <c r="N329" s="213"/>
      <c r="O329" s="214"/>
      <c r="P329" s="214"/>
      <c r="Q329" s="213"/>
      <c r="R329" s="214"/>
      <c r="S329" s="214"/>
      <c r="T329" s="214"/>
      <c r="U329" s="214"/>
      <c r="V329" s="196"/>
    </row>
    <row r="330" spans="1:22">
      <c r="A330" s="187"/>
      <c r="B330" s="168"/>
      <c r="C330" s="188"/>
      <c r="D330" s="189"/>
      <c r="E330" s="189"/>
      <c r="F330" s="189"/>
      <c r="G330" s="189"/>
      <c r="H330" s="189"/>
      <c r="I330" s="189"/>
      <c r="J330" s="190"/>
      <c r="K330" s="190"/>
      <c r="L330" s="189"/>
      <c r="M330" s="189"/>
      <c r="N330" s="189"/>
      <c r="O330" s="190"/>
      <c r="P330" s="190"/>
      <c r="Q330" s="189"/>
      <c r="R330" s="190"/>
      <c r="S330" s="190"/>
      <c r="T330" s="190"/>
      <c r="U330" s="190"/>
      <c r="V330" s="196"/>
    </row>
    <row r="331" spans="1:22">
      <c r="A331" s="191"/>
      <c r="B331" s="192"/>
      <c r="C331" s="193"/>
      <c r="D331" s="194"/>
      <c r="E331" s="194"/>
      <c r="F331" s="194"/>
      <c r="G331" s="194"/>
      <c r="H331" s="194"/>
      <c r="I331" s="194"/>
      <c r="J331" s="195"/>
      <c r="K331" s="195"/>
      <c r="L331" s="194"/>
      <c r="M331" s="194"/>
      <c r="N331" s="194"/>
      <c r="O331" s="195"/>
      <c r="P331" s="195"/>
      <c r="Q331" s="194"/>
      <c r="R331" s="195"/>
      <c r="S331" s="195"/>
      <c r="T331" s="195"/>
      <c r="U331" s="195"/>
      <c r="V331" s="196"/>
    </row>
    <row r="332" spans="1:22">
      <c r="A332" s="191"/>
      <c r="B332" s="197"/>
      <c r="C332" s="198"/>
      <c r="D332" s="199"/>
      <c r="E332" s="199"/>
      <c r="F332" s="201"/>
      <c r="G332" s="199"/>
      <c r="H332" s="199"/>
      <c r="I332" s="199"/>
      <c r="J332" s="202"/>
      <c r="K332" s="202"/>
      <c r="L332" s="201"/>
      <c r="M332" s="199"/>
      <c r="N332" s="199"/>
      <c r="O332" s="202"/>
      <c r="P332" s="202"/>
      <c r="Q332" s="199"/>
      <c r="R332" s="202"/>
      <c r="S332" s="202"/>
      <c r="T332" s="202"/>
      <c r="U332" s="202"/>
      <c r="V332" s="196"/>
    </row>
    <row r="333" spans="1:22">
      <c r="A333" s="191"/>
      <c r="B333" s="168"/>
      <c r="C333" s="188"/>
      <c r="D333" s="189"/>
      <c r="E333" s="189"/>
      <c r="F333" s="189"/>
      <c r="G333" s="189"/>
      <c r="H333" s="189"/>
      <c r="I333" s="189"/>
      <c r="J333" s="190"/>
      <c r="K333" s="190"/>
      <c r="L333" s="189"/>
      <c r="M333" s="189"/>
      <c r="N333" s="189"/>
      <c r="O333" s="190"/>
      <c r="P333" s="190"/>
      <c r="Q333" s="189"/>
      <c r="R333" s="190"/>
      <c r="S333" s="190"/>
      <c r="T333" s="190"/>
      <c r="U333" s="190"/>
      <c r="V333" s="196"/>
    </row>
    <row r="334" spans="1:22">
      <c r="A334" s="191"/>
      <c r="B334" s="192"/>
      <c r="C334" s="193"/>
      <c r="D334" s="194"/>
      <c r="E334" s="194"/>
      <c r="F334" s="194"/>
      <c r="G334" s="194"/>
      <c r="H334" s="194"/>
      <c r="I334" s="194"/>
      <c r="J334" s="195"/>
      <c r="K334" s="195"/>
      <c r="L334" s="194"/>
      <c r="M334" s="194"/>
      <c r="N334" s="194"/>
      <c r="O334" s="195"/>
      <c r="P334" s="195"/>
      <c r="Q334" s="194"/>
      <c r="R334" s="195"/>
      <c r="S334" s="195"/>
      <c r="T334" s="195"/>
      <c r="U334" s="195"/>
      <c r="V334" s="196"/>
    </row>
    <row r="335" spans="1:22">
      <c r="A335" s="191"/>
      <c r="B335" s="197"/>
      <c r="C335" s="198"/>
      <c r="D335" s="199"/>
      <c r="E335" s="199"/>
      <c r="F335" s="199"/>
      <c r="G335" s="199"/>
      <c r="H335" s="199"/>
      <c r="I335" s="199"/>
      <c r="J335" s="202"/>
      <c r="K335" s="202"/>
      <c r="L335" s="199"/>
      <c r="M335" s="199"/>
      <c r="N335" s="199"/>
      <c r="O335" s="202"/>
      <c r="P335" s="202"/>
      <c r="Q335" s="199"/>
      <c r="R335" s="202"/>
      <c r="S335" s="202"/>
      <c r="T335" s="202"/>
      <c r="U335" s="202"/>
      <c r="V335" s="196"/>
    </row>
    <row r="336" spans="1:22">
      <c r="A336" s="191"/>
      <c r="B336" s="168"/>
      <c r="C336" s="188"/>
      <c r="D336" s="189"/>
      <c r="E336" s="189"/>
      <c r="F336" s="189"/>
      <c r="G336" s="189"/>
      <c r="H336" s="189"/>
      <c r="I336" s="189"/>
      <c r="J336" s="190"/>
      <c r="K336" s="190"/>
      <c r="L336" s="189"/>
      <c r="M336" s="189"/>
      <c r="N336" s="189"/>
      <c r="O336" s="190"/>
      <c r="P336" s="190"/>
      <c r="Q336" s="189"/>
      <c r="R336" s="190"/>
      <c r="S336" s="190"/>
      <c r="T336" s="190"/>
      <c r="U336" s="190"/>
      <c r="V336" s="196"/>
    </row>
    <row r="337" spans="1:22">
      <c r="A337" s="191"/>
      <c r="B337" s="192"/>
      <c r="C337" s="193"/>
      <c r="D337" s="194"/>
      <c r="E337" s="194"/>
      <c r="F337" s="194"/>
      <c r="G337" s="194"/>
      <c r="H337" s="194"/>
      <c r="I337" s="194"/>
      <c r="J337" s="195"/>
      <c r="K337" s="195"/>
      <c r="L337" s="194"/>
      <c r="M337" s="194"/>
      <c r="N337" s="194"/>
      <c r="O337" s="195"/>
      <c r="P337" s="195"/>
      <c r="Q337" s="194"/>
      <c r="R337" s="195"/>
      <c r="S337" s="195"/>
      <c r="T337" s="195"/>
      <c r="U337" s="195"/>
      <c r="V337" s="196"/>
    </row>
    <row r="338" spans="1:22">
      <c r="A338" s="191"/>
      <c r="B338" s="197"/>
      <c r="C338" s="198"/>
      <c r="D338" s="199"/>
      <c r="E338" s="199"/>
      <c r="F338" s="201"/>
      <c r="G338" s="199"/>
      <c r="H338" s="199"/>
      <c r="I338" s="199"/>
      <c r="J338" s="202"/>
      <c r="K338" s="202"/>
      <c r="L338" s="201"/>
      <c r="M338" s="199"/>
      <c r="N338" s="199"/>
      <c r="O338" s="202"/>
      <c r="P338" s="202"/>
      <c r="Q338" s="199"/>
      <c r="R338" s="202"/>
      <c r="S338" s="202"/>
      <c r="T338" s="202"/>
      <c r="U338" s="202"/>
      <c r="V338" s="196"/>
    </row>
    <row r="339" spans="1:22">
      <c r="A339" s="191"/>
      <c r="B339" s="168"/>
      <c r="C339" s="188"/>
      <c r="D339" s="189"/>
      <c r="E339" s="189"/>
      <c r="F339" s="189"/>
      <c r="G339" s="189"/>
      <c r="H339" s="189"/>
      <c r="I339" s="189"/>
      <c r="J339" s="190"/>
      <c r="K339" s="190"/>
      <c r="L339" s="189"/>
      <c r="M339" s="189"/>
      <c r="N339" s="189"/>
      <c r="O339" s="190"/>
      <c r="P339" s="190"/>
      <c r="Q339" s="189"/>
      <c r="R339" s="190"/>
      <c r="S339" s="190"/>
      <c r="T339" s="190"/>
      <c r="U339" s="190"/>
      <c r="V339" s="196"/>
    </row>
    <row r="340" spans="1:22">
      <c r="A340" s="191"/>
      <c r="B340" s="192"/>
      <c r="C340" s="193"/>
      <c r="D340" s="194"/>
      <c r="E340" s="194"/>
      <c r="F340" s="194"/>
      <c r="G340" s="194"/>
      <c r="H340" s="194"/>
      <c r="I340" s="194"/>
      <c r="J340" s="195"/>
      <c r="K340" s="195"/>
      <c r="L340" s="194"/>
      <c r="M340" s="194"/>
      <c r="N340" s="194"/>
      <c r="O340" s="195"/>
      <c r="P340" s="195"/>
      <c r="Q340" s="194"/>
      <c r="R340" s="195"/>
      <c r="S340" s="195"/>
      <c r="T340" s="195"/>
      <c r="U340" s="195"/>
      <c r="V340" s="196"/>
    </row>
    <row r="341" spans="1:22">
      <c r="A341" s="191"/>
      <c r="B341" s="197"/>
      <c r="C341" s="198"/>
      <c r="D341" s="199"/>
      <c r="E341" s="199"/>
      <c r="F341" s="199"/>
      <c r="G341" s="199"/>
      <c r="H341" s="199"/>
      <c r="I341" s="199"/>
      <c r="J341" s="202"/>
      <c r="K341" s="202"/>
      <c r="L341" s="199"/>
      <c r="M341" s="199"/>
      <c r="N341" s="199"/>
      <c r="O341" s="202"/>
      <c r="P341" s="202"/>
      <c r="Q341" s="199"/>
      <c r="R341" s="202"/>
      <c r="S341" s="202"/>
      <c r="T341" s="202"/>
      <c r="U341" s="202"/>
      <c r="V341" s="196"/>
    </row>
    <row r="342" spans="1:22">
      <c r="A342" s="191"/>
      <c r="B342" s="168"/>
      <c r="C342" s="188"/>
      <c r="D342" s="189"/>
      <c r="E342" s="189"/>
      <c r="F342" s="189"/>
      <c r="G342" s="189"/>
      <c r="H342" s="189"/>
      <c r="I342" s="189"/>
      <c r="J342" s="190"/>
      <c r="K342" s="190"/>
      <c r="L342" s="189"/>
      <c r="M342" s="189"/>
      <c r="N342" s="189"/>
      <c r="O342" s="190"/>
      <c r="P342" s="190"/>
      <c r="Q342" s="189"/>
      <c r="R342" s="190"/>
      <c r="S342" s="190"/>
      <c r="T342" s="190"/>
      <c r="U342" s="190"/>
      <c r="V342" s="196"/>
    </row>
    <row r="343" spans="1:22">
      <c r="A343" s="191"/>
      <c r="B343" s="192"/>
      <c r="C343" s="193"/>
      <c r="D343" s="194"/>
      <c r="E343" s="194"/>
      <c r="F343" s="194"/>
      <c r="G343" s="194"/>
      <c r="H343" s="194"/>
      <c r="I343" s="194"/>
      <c r="J343" s="195"/>
      <c r="K343" s="195"/>
      <c r="L343" s="194"/>
      <c r="M343" s="194"/>
      <c r="N343" s="194"/>
      <c r="O343" s="195"/>
      <c r="P343" s="195"/>
      <c r="Q343" s="194"/>
      <c r="R343" s="195"/>
      <c r="S343" s="195"/>
      <c r="T343" s="195"/>
      <c r="U343" s="195"/>
      <c r="V343" s="196"/>
    </row>
    <row r="344" spans="1:22">
      <c r="A344" s="191"/>
      <c r="B344" s="197"/>
      <c r="C344" s="198"/>
      <c r="D344" s="199"/>
      <c r="E344" s="199"/>
      <c r="F344" s="199"/>
      <c r="G344" s="199"/>
      <c r="H344" s="199"/>
      <c r="I344" s="199"/>
      <c r="J344" s="202"/>
      <c r="K344" s="202"/>
      <c r="L344" s="199"/>
      <c r="M344" s="199"/>
      <c r="N344" s="199"/>
      <c r="O344" s="202"/>
      <c r="P344" s="202"/>
      <c r="Q344" s="199"/>
      <c r="R344" s="202"/>
      <c r="S344" s="202"/>
      <c r="T344" s="202"/>
      <c r="U344" s="202"/>
      <c r="V344" s="196"/>
    </row>
    <row r="345" spans="1:22">
      <c r="A345" s="191"/>
      <c r="B345" s="168"/>
      <c r="C345" s="188"/>
      <c r="D345" s="189"/>
      <c r="E345" s="189"/>
      <c r="F345" s="189"/>
      <c r="G345" s="189"/>
      <c r="H345" s="189"/>
      <c r="I345" s="189"/>
      <c r="J345" s="190"/>
      <c r="K345" s="190"/>
      <c r="L345" s="189"/>
      <c r="M345" s="189"/>
      <c r="N345" s="189"/>
      <c r="O345" s="190"/>
      <c r="P345" s="190"/>
      <c r="Q345" s="189"/>
      <c r="R345" s="190"/>
      <c r="S345" s="190"/>
      <c r="T345" s="190"/>
      <c r="U345" s="190"/>
      <c r="V345" s="196"/>
    </row>
    <row r="346" spans="1:22">
      <c r="A346" s="191"/>
      <c r="B346" s="192"/>
      <c r="C346" s="193"/>
      <c r="D346" s="194"/>
      <c r="E346" s="194"/>
      <c r="F346" s="194"/>
      <c r="G346" s="194"/>
      <c r="H346" s="194"/>
      <c r="I346" s="194"/>
      <c r="J346" s="195"/>
      <c r="K346" s="195"/>
      <c r="L346" s="194"/>
      <c r="M346" s="194"/>
      <c r="N346" s="194"/>
      <c r="O346" s="195"/>
      <c r="P346" s="195"/>
      <c r="Q346" s="194"/>
      <c r="R346" s="195"/>
      <c r="S346" s="195"/>
      <c r="T346" s="195"/>
      <c r="U346" s="195"/>
      <c r="V346" s="196"/>
    </row>
    <row r="347" spans="1:22" ht="15.75" thickBot="1">
      <c r="A347" s="191"/>
      <c r="B347" s="206"/>
      <c r="C347" s="207"/>
      <c r="D347" s="208"/>
      <c r="E347" s="208"/>
      <c r="F347" s="208"/>
      <c r="G347" s="208"/>
      <c r="H347" s="208"/>
      <c r="I347" s="208"/>
      <c r="J347" s="209"/>
      <c r="K347" s="209"/>
      <c r="L347" s="208"/>
      <c r="M347" s="208"/>
      <c r="N347" s="208"/>
      <c r="O347" s="209"/>
      <c r="P347" s="209"/>
      <c r="Q347" s="208"/>
      <c r="R347" s="209"/>
      <c r="S347" s="209"/>
      <c r="T347" s="209"/>
      <c r="U347" s="209"/>
      <c r="V347" s="196"/>
    </row>
    <row r="348" spans="1:22" ht="15.75" thickTop="1">
      <c r="A348" s="191"/>
      <c r="B348" s="192"/>
      <c r="C348" s="193"/>
      <c r="D348" s="194"/>
      <c r="E348" s="194"/>
      <c r="F348" s="194"/>
      <c r="G348" s="194"/>
      <c r="H348" s="194"/>
      <c r="I348" s="194"/>
      <c r="J348" s="195"/>
      <c r="K348" s="195"/>
      <c r="L348" s="194"/>
      <c r="M348" s="194"/>
      <c r="N348" s="194"/>
      <c r="O348" s="195"/>
      <c r="P348" s="195"/>
      <c r="Q348" s="194"/>
      <c r="R348" s="195"/>
      <c r="S348" s="195"/>
      <c r="T348" s="195"/>
      <c r="U348" s="195"/>
      <c r="V348" s="196"/>
    </row>
    <row r="349" spans="1:22">
      <c r="A349" s="191"/>
      <c r="B349" s="192"/>
      <c r="C349" s="193"/>
      <c r="D349" s="194"/>
      <c r="E349" s="194"/>
      <c r="F349" s="194"/>
      <c r="G349" s="194"/>
      <c r="H349" s="194"/>
      <c r="I349" s="194"/>
      <c r="J349" s="195"/>
      <c r="K349" s="195"/>
      <c r="L349" s="194"/>
      <c r="M349" s="194"/>
      <c r="N349" s="194"/>
      <c r="O349" s="195"/>
      <c r="P349" s="195"/>
      <c r="Q349" s="194"/>
      <c r="R349" s="195"/>
      <c r="S349" s="195"/>
      <c r="T349" s="195"/>
      <c r="U349" s="195"/>
      <c r="V349" s="196"/>
    </row>
    <row r="350" spans="1:22">
      <c r="A350" s="191"/>
      <c r="B350" s="197"/>
      <c r="C350" s="198"/>
      <c r="D350" s="199"/>
      <c r="E350" s="199"/>
      <c r="F350" s="199"/>
      <c r="G350" s="199"/>
      <c r="H350" s="199"/>
      <c r="I350" s="199"/>
      <c r="J350" s="202"/>
      <c r="K350" s="202"/>
      <c r="L350" s="199"/>
      <c r="M350" s="199"/>
      <c r="N350" s="199"/>
      <c r="O350" s="202"/>
      <c r="P350" s="202"/>
      <c r="Q350" s="199"/>
      <c r="R350" s="202"/>
      <c r="S350" s="202"/>
      <c r="T350" s="202"/>
      <c r="U350" s="202"/>
      <c r="V350" s="196"/>
    </row>
    <row r="351" spans="1:22">
      <c r="A351" s="191"/>
      <c r="B351" s="168"/>
      <c r="C351" s="188"/>
      <c r="D351" s="189"/>
      <c r="E351" s="189"/>
      <c r="F351" s="189"/>
      <c r="G351" s="189"/>
      <c r="H351" s="189"/>
      <c r="I351" s="189"/>
      <c r="J351" s="190"/>
      <c r="K351" s="190"/>
      <c r="L351" s="189"/>
      <c r="M351" s="189"/>
      <c r="N351" s="189"/>
      <c r="O351" s="190"/>
      <c r="P351" s="190"/>
      <c r="Q351" s="189"/>
      <c r="R351" s="190"/>
      <c r="S351" s="190"/>
      <c r="T351" s="190"/>
      <c r="U351" s="190"/>
      <c r="V351" s="196"/>
    </row>
    <row r="352" spans="1:22">
      <c r="A352" s="191"/>
      <c r="B352" s="192"/>
      <c r="C352" s="193"/>
      <c r="D352" s="194"/>
      <c r="E352" s="194"/>
      <c r="F352" s="194"/>
      <c r="G352" s="194"/>
      <c r="H352" s="194"/>
      <c r="I352" s="194"/>
      <c r="J352" s="195"/>
      <c r="K352" s="195"/>
      <c r="L352" s="194"/>
      <c r="M352" s="194"/>
      <c r="N352" s="194"/>
      <c r="O352" s="195"/>
      <c r="P352" s="195"/>
      <c r="Q352" s="194"/>
      <c r="R352" s="195"/>
      <c r="S352" s="195"/>
      <c r="T352" s="195"/>
      <c r="U352" s="195"/>
      <c r="V352" s="196"/>
    </row>
    <row r="353" spans="1:22">
      <c r="A353" s="191"/>
      <c r="B353" s="197"/>
      <c r="C353" s="198"/>
      <c r="D353" s="199"/>
      <c r="E353" s="199"/>
      <c r="F353" s="201"/>
      <c r="G353" s="199"/>
      <c r="H353" s="199"/>
      <c r="I353" s="199"/>
      <c r="J353" s="202"/>
      <c r="K353" s="202"/>
      <c r="L353" s="199"/>
      <c r="M353" s="199"/>
      <c r="N353" s="199"/>
      <c r="O353" s="202"/>
      <c r="P353" s="202"/>
      <c r="Q353" s="199"/>
      <c r="R353" s="202"/>
      <c r="S353" s="202"/>
      <c r="T353" s="202"/>
      <c r="U353" s="202"/>
      <c r="V353" s="196"/>
    </row>
    <row r="354" spans="1:22">
      <c r="A354" s="191"/>
      <c r="B354" s="168"/>
      <c r="C354" s="188"/>
      <c r="D354" s="189"/>
      <c r="E354" s="189"/>
      <c r="F354" s="189"/>
      <c r="G354" s="189"/>
      <c r="H354" s="189"/>
      <c r="I354" s="189"/>
      <c r="J354" s="190"/>
      <c r="K354" s="190"/>
      <c r="L354" s="189"/>
      <c r="M354" s="189"/>
      <c r="N354" s="189"/>
      <c r="O354" s="190"/>
      <c r="P354" s="190"/>
      <c r="Q354" s="189"/>
      <c r="R354" s="190"/>
      <c r="S354" s="190"/>
      <c r="T354" s="190"/>
      <c r="U354" s="190"/>
      <c r="V354" s="196"/>
    </row>
    <row r="355" spans="1:22">
      <c r="A355" s="191"/>
      <c r="B355" s="192"/>
      <c r="C355" s="193"/>
      <c r="D355" s="194"/>
      <c r="E355" s="194"/>
      <c r="F355" s="194"/>
      <c r="G355" s="194"/>
      <c r="H355" s="194"/>
      <c r="I355" s="194"/>
      <c r="J355" s="195"/>
      <c r="K355" s="195"/>
      <c r="L355" s="194"/>
      <c r="M355" s="194"/>
      <c r="N355" s="194"/>
      <c r="O355" s="195"/>
      <c r="P355" s="195"/>
      <c r="Q355" s="194"/>
      <c r="R355" s="195"/>
      <c r="S355" s="195"/>
      <c r="T355" s="195"/>
      <c r="U355" s="195"/>
      <c r="V355" s="196"/>
    </row>
    <row r="356" spans="1:22">
      <c r="A356" s="191"/>
      <c r="B356" s="197"/>
      <c r="C356" s="198"/>
      <c r="D356" s="199"/>
      <c r="E356" s="199"/>
      <c r="F356" s="201"/>
      <c r="G356" s="199"/>
      <c r="H356" s="199"/>
      <c r="I356" s="199"/>
      <c r="J356" s="202"/>
      <c r="K356" s="202"/>
      <c r="L356" s="199"/>
      <c r="M356" s="199"/>
      <c r="N356" s="199"/>
      <c r="O356" s="202"/>
      <c r="P356" s="202"/>
      <c r="Q356" s="199"/>
      <c r="R356" s="202"/>
      <c r="S356" s="202"/>
      <c r="T356" s="202"/>
      <c r="U356" s="202"/>
      <c r="V356" s="196"/>
    </row>
    <row r="357" spans="1:22">
      <c r="A357" s="191"/>
      <c r="B357" s="168"/>
      <c r="C357" s="188"/>
      <c r="D357" s="189"/>
      <c r="E357" s="189"/>
      <c r="F357" s="189"/>
      <c r="G357" s="189"/>
      <c r="H357" s="189"/>
      <c r="I357" s="189"/>
      <c r="J357" s="190"/>
      <c r="K357" s="190"/>
      <c r="L357" s="189"/>
      <c r="M357" s="189"/>
      <c r="N357" s="189"/>
      <c r="O357" s="190"/>
      <c r="P357" s="190"/>
      <c r="Q357" s="189"/>
      <c r="R357" s="190"/>
      <c r="S357" s="190"/>
      <c r="T357" s="190"/>
      <c r="U357" s="190"/>
      <c r="V357" s="196"/>
    </row>
    <row r="358" spans="1:22">
      <c r="A358" s="191"/>
      <c r="B358" s="192"/>
      <c r="C358" s="193"/>
      <c r="D358" s="194"/>
      <c r="E358" s="194"/>
      <c r="F358" s="194"/>
      <c r="G358" s="194"/>
      <c r="H358" s="194"/>
      <c r="I358" s="194"/>
      <c r="J358" s="195"/>
      <c r="K358" s="195"/>
      <c r="L358" s="194"/>
      <c r="M358" s="194"/>
      <c r="N358" s="194"/>
      <c r="O358" s="195"/>
      <c r="P358" s="195"/>
      <c r="Q358" s="194"/>
      <c r="R358" s="195"/>
      <c r="S358" s="195"/>
      <c r="T358" s="195"/>
      <c r="U358" s="195"/>
      <c r="V358" s="196"/>
    </row>
    <row r="359" spans="1:22">
      <c r="A359" s="191"/>
      <c r="B359" s="197"/>
      <c r="C359" s="198"/>
      <c r="D359" s="199"/>
      <c r="E359" s="199"/>
      <c r="F359" s="199"/>
      <c r="G359" s="199"/>
      <c r="H359" s="199"/>
      <c r="I359" s="199"/>
      <c r="J359" s="202"/>
      <c r="K359" s="202"/>
      <c r="L359" s="199"/>
      <c r="M359" s="199"/>
      <c r="N359" s="199"/>
      <c r="O359" s="202"/>
      <c r="P359" s="202"/>
      <c r="Q359" s="199"/>
      <c r="R359" s="202"/>
      <c r="S359" s="202"/>
      <c r="T359" s="202"/>
      <c r="U359" s="202"/>
      <c r="V359" s="196"/>
    </row>
    <row r="360" spans="1:22">
      <c r="A360" s="191"/>
      <c r="B360" s="168"/>
      <c r="C360" s="188"/>
      <c r="D360" s="189"/>
      <c r="E360" s="189"/>
      <c r="F360" s="189"/>
      <c r="G360" s="189"/>
      <c r="H360" s="189"/>
      <c r="I360" s="189"/>
      <c r="J360" s="190"/>
      <c r="K360" s="190"/>
      <c r="L360" s="189"/>
      <c r="M360" s="189"/>
      <c r="N360" s="189"/>
      <c r="O360" s="190"/>
      <c r="P360" s="190"/>
      <c r="Q360" s="189"/>
      <c r="R360" s="190"/>
      <c r="S360" s="190"/>
      <c r="T360" s="190"/>
      <c r="U360" s="190"/>
      <c r="V360" s="196"/>
    </row>
    <row r="361" spans="1:22">
      <c r="A361" s="191"/>
      <c r="B361" s="192"/>
      <c r="C361" s="193"/>
      <c r="D361" s="194"/>
      <c r="E361" s="194"/>
      <c r="F361" s="194"/>
      <c r="G361" s="194"/>
      <c r="H361" s="194"/>
      <c r="I361" s="194"/>
      <c r="J361" s="195"/>
      <c r="K361" s="195"/>
      <c r="L361" s="194"/>
      <c r="M361" s="194"/>
      <c r="N361" s="194"/>
      <c r="O361" s="195"/>
      <c r="P361" s="195"/>
      <c r="Q361" s="194"/>
      <c r="R361" s="195"/>
      <c r="S361" s="195"/>
      <c r="T361" s="195"/>
      <c r="U361" s="195"/>
      <c r="V361" s="196"/>
    </row>
    <row r="362" spans="1:22">
      <c r="A362" s="191"/>
      <c r="B362" s="197"/>
      <c r="C362" s="198"/>
      <c r="D362" s="199"/>
      <c r="E362" s="199"/>
      <c r="F362" s="199"/>
      <c r="G362" s="199"/>
      <c r="H362" s="199"/>
      <c r="I362" s="199"/>
      <c r="J362" s="202"/>
      <c r="K362" s="202"/>
      <c r="L362" s="199"/>
      <c r="M362" s="199"/>
      <c r="N362" s="199"/>
      <c r="O362" s="202"/>
      <c r="P362" s="202"/>
      <c r="Q362" s="199"/>
      <c r="R362" s="202"/>
      <c r="S362" s="202"/>
      <c r="T362" s="202"/>
      <c r="U362" s="202"/>
      <c r="V362" s="196"/>
    </row>
    <row r="363" spans="1:22">
      <c r="A363" s="191"/>
      <c r="B363" s="168"/>
      <c r="C363" s="188"/>
      <c r="D363" s="189"/>
      <c r="E363" s="189"/>
      <c r="F363" s="189"/>
      <c r="G363" s="189"/>
      <c r="H363" s="189"/>
      <c r="I363" s="189"/>
      <c r="J363" s="190"/>
      <c r="K363" s="190"/>
      <c r="L363" s="189"/>
      <c r="M363" s="189"/>
      <c r="N363" s="189"/>
      <c r="O363" s="190"/>
      <c r="P363" s="190"/>
      <c r="Q363" s="189"/>
      <c r="R363" s="190"/>
      <c r="S363" s="190"/>
      <c r="T363" s="190"/>
      <c r="U363" s="190"/>
      <c r="V363" s="196"/>
    </row>
    <row r="364" spans="1:22">
      <c r="A364" s="191"/>
      <c r="B364" s="192"/>
      <c r="C364" s="193"/>
      <c r="D364" s="194"/>
      <c r="E364" s="194"/>
      <c r="F364" s="194"/>
      <c r="G364" s="194"/>
      <c r="H364" s="194"/>
      <c r="I364" s="194"/>
      <c r="J364" s="195"/>
      <c r="K364" s="195"/>
      <c r="L364" s="194"/>
      <c r="M364" s="194"/>
      <c r="N364" s="194"/>
      <c r="O364" s="195"/>
      <c r="P364" s="195"/>
      <c r="Q364" s="194"/>
      <c r="R364" s="195"/>
      <c r="S364" s="195"/>
      <c r="T364" s="195"/>
      <c r="U364" s="195"/>
      <c r="V364" s="196"/>
    </row>
    <row r="365" spans="1:22" ht="15.75" thickBot="1">
      <c r="A365" s="210"/>
      <c r="B365" s="211"/>
      <c r="C365" s="212"/>
      <c r="D365" s="213"/>
      <c r="E365" s="213"/>
      <c r="F365" s="213"/>
      <c r="G365" s="213"/>
      <c r="H365" s="213"/>
      <c r="I365" s="213"/>
      <c r="J365" s="214"/>
      <c r="K365" s="214"/>
      <c r="L365" s="213"/>
      <c r="M365" s="213"/>
      <c r="N365" s="213"/>
      <c r="O365" s="214"/>
      <c r="P365" s="214"/>
      <c r="Q365" s="213"/>
      <c r="R365" s="214"/>
      <c r="S365" s="214"/>
      <c r="T365" s="214"/>
      <c r="U365" s="214"/>
      <c r="V365" s="196"/>
    </row>
    <row r="366" spans="1:22">
      <c r="A366" s="187"/>
      <c r="B366" s="168"/>
      <c r="C366" s="188"/>
      <c r="D366" s="189"/>
      <c r="E366" s="189"/>
      <c r="F366" s="189"/>
      <c r="G366" s="189"/>
      <c r="H366" s="189"/>
      <c r="I366" s="189"/>
      <c r="J366" s="190"/>
      <c r="K366" s="190"/>
      <c r="L366" s="189"/>
      <c r="M366" s="189"/>
      <c r="N366" s="189"/>
      <c r="O366" s="190"/>
      <c r="P366" s="190"/>
      <c r="Q366" s="189"/>
      <c r="R366" s="190"/>
      <c r="S366" s="190"/>
      <c r="T366" s="190"/>
      <c r="U366" s="190"/>
      <c r="V366" s="196"/>
    </row>
    <row r="367" spans="1:22">
      <c r="A367" s="191"/>
      <c r="B367" s="192"/>
      <c r="C367" s="193"/>
      <c r="D367" s="194"/>
      <c r="E367" s="194"/>
      <c r="F367" s="194"/>
      <c r="G367" s="194"/>
      <c r="H367" s="194"/>
      <c r="I367" s="194"/>
      <c r="J367" s="195"/>
      <c r="K367" s="195"/>
      <c r="L367" s="194"/>
      <c r="M367" s="194"/>
      <c r="N367" s="194"/>
      <c r="O367" s="195"/>
      <c r="P367" s="195"/>
      <c r="Q367" s="194"/>
      <c r="R367" s="195"/>
      <c r="S367" s="195"/>
      <c r="T367" s="195"/>
      <c r="U367" s="195"/>
      <c r="V367" s="196"/>
    </row>
    <row r="368" spans="1:22">
      <c r="A368" s="191"/>
      <c r="B368" s="197"/>
      <c r="C368" s="198"/>
      <c r="D368" s="199"/>
      <c r="E368" s="201"/>
      <c r="F368" s="199"/>
      <c r="G368" s="199"/>
      <c r="H368" s="199"/>
      <c r="I368" s="199"/>
      <c r="J368" s="202"/>
      <c r="K368" s="202"/>
      <c r="L368" s="199"/>
      <c r="M368" s="199"/>
      <c r="N368" s="199"/>
      <c r="O368" s="202"/>
      <c r="P368" s="202"/>
      <c r="Q368" s="199"/>
      <c r="R368" s="202"/>
      <c r="S368" s="202"/>
      <c r="T368" s="202"/>
      <c r="U368" s="202"/>
      <c r="V368" s="196"/>
    </row>
    <row r="369" spans="1:22">
      <c r="A369" s="191"/>
      <c r="B369" s="168"/>
      <c r="C369" s="188"/>
      <c r="D369" s="189"/>
      <c r="E369" s="189"/>
      <c r="F369" s="189"/>
      <c r="G369" s="189"/>
      <c r="H369" s="189"/>
      <c r="I369" s="189"/>
      <c r="J369" s="190"/>
      <c r="K369" s="190"/>
      <c r="L369" s="189"/>
      <c r="M369" s="189"/>
      <c r="N369" s="189"/>
      <c r="O369" s="190"/>
      <c r="P369" s="190"/>
      <c r="Q369" s="189"/>
      <c r="R369" s="190"/>
      <c r="S369" s="190"/>
      <c r="T369" s="190"/>
      <c r="U369" s="190"/>
      <c r="V369" s="196"/>
    </row>
    <row r="370" spans="1:22">
      <c r="A370" s="191"/>
      <c r="B370" s="192"/>
      <c r="C370" s="193"/>
      <c r="D370" s="194"/>
      <c r="E370" s="194"/>
      <c r="F370" s="194"/>
      <c r="G370" s="194"/>
      <c r="H370" s="194"/>
      <c r="I370" s="194"/>
      <c r="J370" s="195"/>
      <c r="K370" s="195"/>
      <c r="L370" s="194"/>
      <c r="M370" s="194"/>
      <c r="N370" s="194"/>
      <c r="O370" s="195"/>
      <c r="P370" s="195"/>
      <c r="Q370" s="194"/>
      <c r="R370" s="195"/>
      <c r="S370" s="195"/>
      <c r="T370" s="195"/>
      <c r="U370" s="195"/>
      <c r="V370" s="196"/>
    </row>
    <row r="371" spans="1:22">
      <c r="A371" s="191"/>
      <c r="B371" s="197"/>
      <c r="C371" s="198"/>
      <c r="D371" s="199"/>
      <c r="E371" s="201"/>
      <c r="F371" s="199"/>
      <c r="G371" s="199"/>
      <c r="H371" s="199"/>
      <c r="I371" s="199"/>
      <c r="J371" s="202"/>
      <c r="K371" s="202"/>
      <c r="L371" s="199"/>
      <c r="M371" s="199"/>
      <c r="N371" s="199"/>
      <c r="O371" s="202"/>
      <c r="P371" s="202"/>
      <c r="Q371" s="199"/>
      <c r="R371" s="202"/>
      <c r="S371" s="202"/>
      <c r="T371" s="202"/>
      <c r="U371" s="202"/>
      <c r="V371" s="196"/>
    </row>
    <row r="372" spans="1:22">
      <c r="A372" s="191"/>
      <c r="B372" s="168"/>
      <c r="C372" s="188"/>
      <c r="D372" s="189"/>
      <c r="E372" s="189"/>
      <c r="F372" s="189"/>
      <c r="G372" s="189"/>
      <c r="H372" s="189"/>
      <c r="I372" s="189"/>
      <c r="J372" s="190"/>
      <c r="K372" s="190"/>
      <c r="L372" s="189"/>
      <c r="M372" s="189"/>
      <c r="N372" s="189"/>
      <c r="O372" s="190"/>
      <c r="P372" s="190"/>
      <c r="Q372" s="189"/>
      <c r="R372" s="190"/>
      <c r="S372" s="190"/>
      <c r="T372" s="190"/>
      <c r="U372" s="190"/>
      <c r="V372" s="196"/>
    </row>
    <row r="373" spans="1:22">
      <c r="A373" s="191"/>
      <c r="B373" s="192"/>
      <c r="C373" s="193"/>
      <c r="D373" s="194"/>
      <c r="E373" s="194"/>
      <c r="F373" s="194"/>
      <c r="G373" s="194"/>
      <c r="H373" s="194"/>
      <c r="I373" s="194"/>
      <c r="J373" s="195"/>
      <c r="K373" s="195"/>
      <c r="L373" s="194"/>
      <c r="M373" s="194"/>
      <c r="N373" s="194"/>
      <c r="O373" s="195"/>
      <c r="P373" s="195"/>
      <c r="Q373" s="194"/>
      <c r="R373" s="195"/>
      <c r="S373" s="195"/>
      <c r="T373" s="195"/>
      <c r="U373" s="195"/>
      <c r="V373" s="196"/>
    </row>
    <row r="374" spans="1:22">
      <c r="A374" s="191"/>
      <c r="B374" s="197"/>
      <c r="C374" s="198"/>
      <c r="D374" s="199"/>
      <c r="E374" s="199"/>
      <c r="F374" s="199"/>
      <c r="G374" s="199"/>
      <c r="H374" s="199"/>
      <c r="I374" s="199"/>
      <c r="J374" s="202"/>
      <c r="K374" s="202"/>
      <c r="L374" s="199"/>
      <c r="M374" s="199"/>
      <c r="N374" s="199"/>
      <c r="O374" s="202"/>
      <c r="P374" s="202"/>
      <c r="Q374" s="199"/>
      <c r="R374" s="202"/>
      <c r="S374" s="202"/>
      <c r="T374" s="202"/>
      <c r="U374" s="202"/>
      <c r="V374" s="196"/>
    </row>
    <row r="375" spans="1:22">
      <c r="A375" s="191"/>
      <c r="B375" s="168"/>
      <c r="C375" s="188"/>
      <c r="D375" s="189"/>
      <c r="E375" s="189"/>
      <c r="F375" s="189"/>
      <c r="G375" s="189"/>
      <c r="H375" s="189"/>
      <c r="I375" s="189"/>
      <c r="J375" s="190"/>
      <c r="K375" s="190"/>
      <c r="L375" s="189"/>
      <c r="M375" s="189"/>
      <c r="N375" s="189"/>
      <c r="O375" s="190"/>
      <c r="P375" s="190"/>
      <c r="Q375" s="189"/>
      <c r="R375" s="190"/>
      <c r="S375" s="190"/>
      <c r="T375" s="190"/>
      <c r="U375" s="190"/>
      <c r="V375" s="196"/>
    </row>
    <row r="376" spans="1:22">
      <c r="A376" s="191"/>
      <c r="B376" s="192"/>
      <c r="C376" s="193"/>
      <c r="D376" s="194"/>
      <c r="E376" s="194"/>
      <c r="F376" s="194"/>
      <c r="G376" s="194"/>
      <c r="H376" s="194"/>
      <c r="I376" s="194"/>
      <c r="J376" s="195"/>
      <c r="K376" s="195"/>
      <c r="L376" s="194"/>
      <c r="M376" s="194"/>
      <c r="N376" s="194"/>
      <c r="O376" s="195"/>
      <c r="P376" s="195"/>
      <c r="Q376" s="194"/>
      <c r="R376" s="195"/>
      <c r="S376" s="195"/>
      <c r="T376" s="195"/>
      <c r="U376" s="195"/>
      <c r="V376" s="196"/>
    </row>
    <row r="377" spans="1:22">
      <c r="A377" s="191"/>
      <c r="B377" s="197"/>
      <c r="C377" s="198"/>
      <c r="D377" s="199"/>
      <c r="E377" s="199"/>
      <c r="F377" s="199"/>
      <c r="G377" s="199"/>
      <c r="H377" s="199"/>
      <c r="I377" s="199"/>
      <c r="J377" s="202"/>
      <c r="K377" s="202"/>
      <c r="L377" s="199"/>
      <c r="M377" s="199"/>
      <c r="N377" s="199"/>
      <c r="O377" s="202"/>
      <c r="P377" s="202"/>
      <c r="Q377" s="199"/>
      <c r="R377" s="202"/>
      <c r="S377" s="202"/>
      <c r="T377" s="202"/>
      <c r="U377" s="202"/>
      <c r="V377" s="196"/>
    </row>
    <row r="378" spans="1:22">
      <c r="A378" s="191"/>
      <c r="B378" s="168"/>
      <c r="C378" s="188"/>
      <c r="D378" s="189"/>
      <c r="E378" s="189"/>
      <c r="F378" s="189"/>
      <c r="G378" s="189"/>
      <c r="H378" s="189"/>
      <c r="I378" s="189"/>
      <c r="J378" s="190"/>
      <c r="K378" s="190"/>
      <c r="L378" s="189"/>
      <c r="M378" s="189"/>
      <c r="N378" s="189"/>
      <c r="O378" s="190"/>
      <c r="P378" s="190"/>
      <c r="Q378" s="189"/>
      <c r="R378" s="190"/>
      <c r="S378" s="190"/>
      <c r="T378" s="190"/>
      <c r="U378" s="190"/>
      <c r="V378" s="196"/>
    </row>
    <row r="379" spans="1:22">
      <c r="A379" s="191"/>
      <c r="B379" s="192"/>
      <c r="C379" s="193"/>
      <c r="D379" s="194"/>
      <c r="E379" s="194"/>
      <c r="F379" s="194"/>
      <c r="G379" s="194"/>
      <c r="H379" s="194"/>
      <c r="I379" s="194"/>
      <c r="J379" s="195"/>
      <c r="K379" s="195"/>
      <c r="L379" s="194"/>
      <c r="M379" s="194"/>
      <c r="N379" s="194"/>
      <c r="O379" s="195"/>
      <c r="P379" s="195"/>
      <c r="Q379" s="194"/>
      <c r="R379" s="195"/>
      <c r="S379" s="195"/>
      <c r="T379" s="195"/>
      <c r="U379" s="195"/>
      <c r="V379" s="196"/>
    </row>
    <row r="380" spans="1:22">
      <c r="A380" s="191"/>
      <c r="B380" s="197"/>
      <c r="C380" s="198"/>
      <c r="D380" s="199"/>
      <c r="E380" s="199"/>
      <c r="F380" s="199"/>
      <c r="G380" s="199"/>
      <c r="H380" s="199"/>
      <c r="I380" s="199"/>
      <c r="J380" s="202"/>
      <c r="K380" s="202"/>
      <c r="L380" s="199"/>
      <c r="M380" s="199"/>
      <c r="N380" s="199"/>
      <c r="O380" s="202"/>
      <c r="P380" s="202"/>
      <c r="Q380" s="199"/>
      <c r="R380" s="202"/>
      <c r="S380" s="202"/>
      <c r="T380" s="202"/>
      <c r="U380" s="202"/>
      <c r="V380" s="196"/>
    </row>
    <row r="381" spans="1:22">
      <c r="A381" s="191"/>
      <c r="B381" s="168"/>
      <c r="C381" s="188"/>
      <c r="D381" s="189"/>
      <c r="E381" s="189"/>
      <c r="F381" s="189"/>
      <c r="G381" s="189"/>
      <c r="H381" s="189"/>
      <c r="I381" s="189"/>
      <c r="J381" s="190"/>
      <c r="K381" s="190"/>
      <c r="L381" s="189"/>
      <c r="M381" s="189"/>
      <c r="N381" s="189"/>
      <c r="O381" s="190"/>
      <c r="P381" s="190"/>
      <c r="Q381" s="189"/>
      <c r="R381" s="190"/>
      <c r="S381" s="190"/>
      <c r="T381" s="190"/>
      <c r="U381" s="190"/>
      <c r="V381" s="196"/>
    </row>
    <row r="382" spans="1:22">
      <c r="A382" s="191"/>
      <c r="B382" s="192"/>
      <c r="C382" s="193"/>
      <c r="D382" s="194"/>
      <c r="E382" s="194"/>
      <c r="F382" s="194"/>
      <c r="G382" s="194"/>
      <c r="H382" s="194"/>
      <c r="I382" s="194"/>
      <c r="J382" s="195"/>
      <c r="K382" s="195"/>
      <c r="L382" s="194"/>
      <c r="M382" s="194"/>
      <c r="N382" s="194"/>
      <c r="O382" s="195"/>
      <c r="P382" s="195"/>
      <c r="Q382" s="194"/>
      <c r="R382" s="195"/>
      <c r="S382" s="195"/>
      <c r="T382" s="195"/>
      <c r="U382" s="195"/>
      <c r="V382" s="196"/>
    </row>
    <row r="383" spans="1:22" ht="15.75" thickBot="1">
      <c r="A383" s="191"/>
      <c r="B383" s="206"/>
      <c r="C383" s="207"/>
      <c r="D383" s="208"/>
      <c r="E383" s="208"/>
      <c r="F383" s="208"/>
      <c r="G383" s="208"/>
      <c r="H383" s="208"/>
      <c r="I383" s="208"/>
      <c r="J383" s="209"/>
      <c r="K383" s="209"/>
      <c r="L383" s="208"/>
      <c r="M383" s="208"/>
      <c r="N383" s="208"/>
      <c r="O383" s="209"/>
      <c r="P383" s="209"/>
      <c r="Q383" s="208"/>
      <c r="R383" s="209"/>
      <c r="S383" s="209"/>
      <c r="T383" s="209"/>
      <c r="U383" s="209"/>
      <c r="V383" s="196"/>
    </row>
    <row r="384" spans="1:22" ht="15.75" thickTop="1">
      <c r="A384" s="191"/>
      <c r="B384" s="192"/>
      <c r="C384" s="193"/>
      <c r="D384" s="194"/>
      <c r="E384" s="194"/>
      <c r="F384" s="194"/>
      <c r="G384" s="194"/>
      <c r="H384" s="194"/>
      <c r="I384" s="194"/>
      <c r="J384" s="195"/>
      <c r="K384" s="195"/>
      <c r="L384" s="194"/>
      <c r="M384" s="194"/>
      <c r="N384" s="194"/>
      <c r="O384" s="195"/>
      <c r="P384" s="195"/>
      <c r="Q384" s="194"/>
      <c r="R384" s="195"/>
      <c r="S384" s="195"/>
      <c r="T384" s="195"/>
      <c r="U384" s="195"/>
      <c r="V384" s="196"/>
    </row>
    <row r="385" spans="1:22">
      <c r="A385" s="191"/>
      <c r="B385" s="192"/>
      <c r="C385" s="193"/>
      <c r="D385" s="194"/>
      <c r="E385" s="194"/>
      <c r="F385" s="194"/>
      <c r="G385" s="194"/>
      <c r="H385" s="194"/>
      <c r="I385" s="194"/>
      <c r="J385" s="195"/>
      <c r="K385" s="195"/>
      <c r="L385" s="194"/>
      <c r="M385" s="194"/>
      <c r="N385" s="194"/>
      <c r="O385" s="195"/>
      <c r="P385" s="195"/>
      <c r="Q385" s="194"/>
      <c r="R385" s="195"/>
      <c r="S385" s="195"/>
      <c r="T385" s="195"/>
      <c r="U385" s="195"/>
      <c r="V385" s="196"/>
    </row>
    <row r="386" spans="1:22">
      <c r="A386" s="191"/>
      <c r="B386" s="197"/>
      <c r="C386" s="218"/>
      <c r="D386" s="199"/>
      <c r="E386" s="201"/>
      <c r="F386" s="201"/>
      <c r="G386" s="199"/>
      <c r="H386" s="199"/>
      <c r="I386" s="199"/>
      <c r="J386" s="202"/>
      <c r="K386" s="202"/>
      <c r="L386" s="199"/>
      <c r="M386" s="199"/>
      <c r="N386" s="199"/>
      <c r="O386" s="202"/>
      <c r="P386" s="202"/>
      <c r="Q386" s="199"/>
      <c r="R386" s="202"/>
      <c r="S386" s="202"/>
      <c r="T386" s="202"/>
      <c r="U386" s="202"/>
      <c r="V386" s="196"/>
    </row>
    <row r="387" spans="1:22">
      <c r="A387" s="191"/>
      <c r="B387" s="168"/>
      <c r="C387" s="188"/>
      <c r="D387" s="189"/>
      <c r="E387" s="189"/>
      <c r="F387" s="189"/>
      <c r="G387" s="189"/>
      <c r="H387" s="189"/>
      <c r="I387" s="189"/>
      <c r="J387" s="190"/>
      <c r="K387" s="190"/>
      <c r="L387" s="189"/>
      <c r="M387" s="189"/>
      <c r="N387" s="189"/>
      <c r="O387" s="190"/>
      <c r="P387" s="190"/>
      <c r="Q387" s="189"/>
      <c r="R387" s="190"/>
      <c r="S387" s="190"/>
      <c r="T387" s="190"/>
      <c r="U387" s="190"/>
      <c r="V387" s="196"/>
    </row>
    <row r="388" spans="1:22">
      <c r="A388" s="191"/>
      <c r="B388" s="192"/>
      <c r="C388" s="193"/>
      <c r="D388" s="194"/>
      <c r="E388" s="194"/>
      <c r="F388" s="194"/>
      <c r="G388" s="194"/>
      <c r="H388" s="194"/>
      <c r="I388" s="194"/>
      <c r="J388" s="195"/>
      <c r="K388" s="195"/>
      <c r="L388" s="194"/>
      <c r="M388" s="194"/>
      <c r="N388" s="194"/>
      <c r="O388" s="195"/>
      <c r="P388" s="195"/>
      <c r="Q388" s="194"/>
      <c r="R388" s="195"/>
      <c r="S388" s="195"/>
      <c r="T388" s="195"/>
      <c r="U388" s="195"/>
      <c r="V388" s="196"/>
    </row>
    <row r="389" spans="1:22">
      <c r="A389" s="191"/>
      <c r="B389" s="197"/>
      <c r="C389" s="218"/>
      <c r="D389" s="199"/>
      <c r="E389" s="201"/>
      <c r="F389" s="199"/>
      <c r="G389" s="199"/>
      <c r="H389" s="199"/>
      <c r="I389" s="199"/>
      <c r="J389" s="202"/>
      <c r="K389" s="202"/>
      <c r="L389" s="199"/>
      <c r="M389" s="199"/>
      <c r="N389" s="199"/>
      <c r="O389" s="202"/>
      <c r="P389" s="202"/>
      <c r="Q389" s="199"/>
      <c r="R389" s="202"/>
      <c r="S389" s="202"/>
      <c r="T389" s="202"/>
      <c r="U389" s="202"/>
      <c r="V389" s="196"/>
    </row>
    <row r="390" spans="1:22">
      <c r="A390" s="191"/>
      <c r="B390" s="168"/>
      <c r="C390" s="188"/>
      <c r="D390" s="189"/>
      <c r="E390" s="189"/>
      <c r="F390" s="189"/>
      <c r="G390" s="189"/>
      <c r="H390" s="189"/>
      <c r="I390" s="189"/>
      <c r="J390" s="190"/>
      <c r="K390" s="190"/>
      <c r="L390" s="189"/>
      <c r="M390" s="189"/>
      <c r="N390" s="189"/>
      <c r="O390" s="190"/>
      <c r="P390" s="190"/>
      <c r="Q390" s="189"/>
      <c r="R390" s="190"/>
      <c r="S390" s="190"/>
      <c r="T390" s="190"/>
      <c r="U390" s="190"/>
      <c r="V390" s="196"/>
    </row>
    <row r="391" spans="1:22">
      <c r="A391" s="191"/>
      <c r="B391" s="192"/>
      <c r="C391" s="193"/>
      <c r="D391" s="194"/>
      <c r="E391" s="194"/>
      <c r="F391" s="194"/>
      <c r="G391" s="194"/>
      <c r="H391" s="194"/>
      <c r="I391" s="194"/>
      <c r="J391" s="195"/>
      <c r="K391" s="195"/>
      <c r="L391" s="194"/>
      <c r="M391" s="194"/>
      <c r="N391" s="194"/>
      <c r="O391" s="195"/>
      <c r="P391" s="195"/>
      <c r="Q391" s="194"/>
      <c r="R391" s="195"/>
      <c r="S391" s="195"/>
      <c r="T391" s="195"/>
      <c r="U391" s="195"/>
      <c r="V391" s="196"/>
    </row>
    <row r="392" spans="1:22">
      <c r="A392" s="191"/>
      <c r="B392" s="197"/>
      <c r="C392" s="218"/>
      <c r="D392" s="199"/>
      <c r="E392" s="199"/>
      <c r="F392" s="201"/>
      <c r="G392" s="199"/>
      <c r="H392" s="199"/>
      <c r="I392" s="199"/>
      <c r="J392" s="202"/>
      <c r="K392" s="202"/>
      <c r="L392" s="199"/>
      <c r="M392" s="199"/>
      <c r="N392" s="199"/>
      <c r="O392" s="202"/>
      <c r="P392" s="202"/>
      <c r="Q392" s="199"/>
      <c r="R392" s="202"/>
      <c r="S392" s="202"/>
      <c r="T392" s="202"/>
      <c r="U392" s="202"/>
      <c r="V392" s="196"/>
    </row>
    <row r="393" spans="1:22">
      <c r="A393" s="191"/>
      <c r="B393" s="168"/>
      <c r="C393" s="188"/>
      <c r="D393" s="189"/>
      <c r="E393" s="189"/>
      <c r="F393" s="189"/>
      <c r="G393" s="189"/>
      <c r="H393" s="189"/>
      <c r="I393" s="189"/>
      <c r="J393" s="190"/>
      <c r="K393" s="190"/>
      <c r="L393" s="189"/>
      <c r="M393" s="189"/>
      <c r="N393" s="189"/>
      <c r="O393" s="190"/>
      <c r="P393" s="190"/>
      <c r="Q393" s="189"/>
      <c r="R393" s="190"/>
      <c r="S393" s="190"/>
      <c r="T393" s="190"/>
      <c r="U393" s="190"/>
      <c r="V393" s="196"/>
    </row>
    <row r="394" spans="1:22">
      <c r="A394" s="191"/>
      <c r="B394" s="192"/>
      <c r="C394" s="193"/>
      <c r="D394" s="194"/>
      <c r="E394" s="194"/>
      <c r="F394" s="194"/>
      <c r="G394" s="194"/>
      <c r="H394" s="194"/>
      <c r="I394" s="194"/>
      <c r="J394" s="195"/>
      <c r="K394" s="195"/>
      <c r="L394" s="194"/>
      <c r="M394" s="194"/>
      <c r="N394" s="194"/>
      <c r="O394" s="195"/>
      <c r="P394" s="195"/>
      <c r="Q394" s="194"/>
      <c r="R394" s="195"/>
      <c r="S394" s="195"/>
      <c r="T394" s="195"/>
      <c r="U394" s="195"/>
      <c r="V394" s="196"/>
    </row>
    <row r="395" spans="1:22">
      <c r="A395" s="191"/>
      <c r="B395" s="197"/>
      <c r="C395" s="198"/>
      <c r="D395" s="199"/>
      <c r="E395" s="199"/>
      <c r="F395" s="199"/>
      <c r="G395" s="199"/>
      <c r="H395" s="199"/>
      <c r="I395" s="199"/>
      <c r="J395" s="202"/>
      <c r="K395" s="202"/>
      <c r="L395" s="199"/>
      <c r="M395" s="199"/>
      <c r="N395" s="199"/>
      <c r="O395" s="202"/>
      <c r="P395" s="202"/>
      <c r="Q395" s="199"/>
      <c r="R395" s="202"/>
      <c r="S395" s="202"/>
      <c r="T395" s="202"/>
      <c r="U395" s="202"/>
      <c r="V395" s="196"/>
    </row>
    <row r="396" spans="1:22">
      <c r="A396" s="191"/>
      <c r="B396" s="168"/>
      <c r="C396" s="188"/>
      <c r="D396" s="189"/>
      <c r="E396" s="189"/>
      <c r="F396" s="189"/>
      <c r="G396" s="189"/>
      <c r="H396" s="189"/>
      <c r="I396" s="189"/>
      <c r="J396" s="190"/>
      <c r="K396" s="190"/>
      <c r="L396" s="189"/>
      <c r="M396" s="189"/>
      <c r="N396" s="189"/>
      <c r="O396" s="190"/>
      <c r="P396" s="190"/>
      <c r="Q396" s="189"/>
      <c r="R396" s="190"/>
      <c r="S396" s="190"/>
      <c r="T396" s="190"/>
      <c r="U396" s="190"/>
      <c r="V396" s="196"/>
    </row>
    <row r="397" spans="1:22">
      <c r="A397" s="191"/>
      <c r="B397" s="192"/>
      <c r="C397" s="193"/>
      <c r="D397" s="194"/>
      <c r="E397" s="194"/>
      <c r="F397" s="194"/>
      <c r="G397" s="194"/>
      <c r="H397" s="194"/>
      <c r="I397" s="194"/>
      <c r="J397" s="195"/>
      <c r="K397" s="195"/>
      <c r="L397" s="194"/>
      <c r="M397" s="194"/>
      <c r="N397" s="194"/>
      <c r="O397" s="195"/>
      <c r="P397" s="195"/>
      <c r="Q397" s="194"/>
      <c r="R397" s="195"/>
      <c r="S397" s="195"/>
      <c r="T397" s="195"/>
      <c r="U397" s="195"/>
      <c r="V397" s="196"/>
    </row>
    <row r="398" spans="1:22">
      <c r="A398" s="191"/>
      <c r="B398" s="197"/>
      <c r="C398" s="198"/>
      <c r="D398" s="199"/>
      <c r="E398" s="199"/>
      <c r="F398" s="199"/>
      <c r="G398" s="199"/>
      <c r="H398" s="199"/>
      <c r="I398" s="199"/>
      <c r="J398" s="202"/>
      <c r="K398" s="202"/>
      <c r="L398" s="199"/>
      <c r="M398" s="199"/>
      <c r="N398" s="199"/>
      <c r="O398" s="202"/>
      <c r="P398" s="202"/>
      <c r="Q398" s="199"/>
      <c r="R398" s="202"/>
      <c r="S398" s="202"/>
      <c r="T398" s="202"/>
      <c r="U398" s="202"/>
      <c r="V398" s="196"/>
    </row>
    <row r="399" spans="1:22">
      <c r="A399" s="191"/>
      <c r="B399" s="168"/>
      <c r="C399" s="188"/>
      <c r="D399" s="189"/>
      <c r="E399" s="189"/>
      <c r="F399" s="189"/>
      <c r="G399" s="189"/>
      <c r="H399" s="189"/>
      <c r="I399" s="189"/>
      <c r="J399" s="190"/>
      <c r="K399" s="190"/>
      <c r="L399" s="189"/>
      <c r="M399" s="189"/>
      <c r="N399" s="189"/>
      <c r="O399" s="190"/>
      <c r="P399" s="190"/>
      <c r="Q399" s="189"/>
      <c r="R399" s="190"/>
      <c r="S399" s="190"/>
      <c r="T399" s="190"/>
      <c r="U399" s="190"/>
      <c r="V399" s="196"/>
    </row>
    <row r="400" spans="1:22">
      <c r="A400" s="191"/>
      <c r="B400" s="192"/>
      <c r="C400" s="193"/>
      <c r="D400" s="194"/>
      <c r="E400" s="194"/>
      <c r="F400" s="194"/>
      <c r="G400" s="194"/>
      <c r="H400" s="194"/>
      <c r="I400" s="194"/>
      <c r="J400" s="195"/>
      <c r="K400" s="195"/>
      <c r="L400" s="194"/>
      <c r="M400" s="194"/>
      <c r="N400" s="194"/>
      <c r="O400" s="195"/>
      <c r="P400" s="195"/>
      <c r="Q400" s="194"/>
      <c r="R400" s="195"/>
      <c r="S400" s="195"/>
      <c r="T400" s="195"/>
      <c r="U400" s="195"/>
      <c r="V400" s="196"/>
    </row>
    <row r="401" spans="1:22" ht="15.75" thickBot="1">
      <c r="A401" s="210"/>
      <c r="B401" s="211"/>
      <c r="C401" s="212"/>
      <c r="D401" s="213"/>
      <c r="E401" s="213"/>
      <c r="F401" s="213"/>
      <c r="G401" s="213"/>
      <c r="H401" s="213"/>
      <c r="I401" s="213"/>
      <c r="J401" s="214"/>
      <c r="K401" s="214"/>
      <c r="L401" s="213"/>
      <c r="M401" s="213"/>
      <c r="N401" s="213"/>
      <c r="O401" s="214"/>
      <c r="P401" s="214"/>
      <c r="Q401" s="213"/>
      <c r="R401" s="214"/>
      <c r="S401" s="214"/>
      <c r="T401" s="214"/>
      <c r="U401" s="214"/>
      <c r="V401" s="196"/>
    </row>
    <row r="402" spans="1:22">
      <c r="A402" s="187"/>
      <c r="B402" s="168"/>
      <c r="C402" s="188"/>
      <c r="D402" s="189"/>
      <c r="E402" s="189"/>
      <c r="F402" s="189"/>
      <c r="G402" s="189"/>
      <c r="H402" s="189"/>
      <c r="I402" s="189"/>
      <c r="J402" s="190"/>
      <c r="K402" s="190"/>
      <c r="L402" s="189"/>
      <c r="M402" s="189"/>
      <c r="N402" s="189"/>
      <c r="O402" s="190"/>
      <c r="P402" s="190"/>
      <c r="Q402" s="189"/>
      <c r="R402" s="190"/>
      <c r="S402" s="190"/>
      <c r="T402" s="190"/>
      <c r="U402" s="190"/>
      <c r="V402" s="196"/>
    </row>
    <row r="403" spans="1:22">
      <c r="A403" s="191"/>
      <c r="B403" s="192"/>
      <c r="C403" s="193"/>
      <c r="D403" s="194"/>
      <c r="E403" s="194"/>
      <c r="F403" s="194"/>
      <c r="G403" s="194"/>
      <c r="H403" s="194"/>
      <c r="I403" s="194"/>
      <c r="J403" s="195"/>
      <c r="K403" s="195"/>
      <c r="L403" s="194"/>
      <c r="M403" s="194"/>
      <c r="N403" s="194"/>
      <c r="O403" s="195"/>
      <c r="P403" s="195"/>
      <c r="Q403" s="194"/>
      <c r="R403" s="195"/>
      <c r="S403" s="195"/>
      <c r="T403" s="195"/>
      <c r="U403" s="195"/>
      <c r="V403" s="196"/>
    </row>
    <row r="404" spans="1:22">
      <c r="A404" s="191"/>
      <c r="B404" s="197"/>
      <c r="C404" s="198"/>
      <c r="D404" s="199"/>
      <c r="E404" s="199"/>
      <c r="F404" s="199"/>
      <c r="G404" s="199"/>
      <c r="H404" s="199"/>
      <c r="I404" s="199"/>
      <c r="J404" s="202"/>
      <c r="K404" s="202"/>
      <c r="L404" s="199"/>
      <c r="M404" s="199"/>
      <c r="N404" s="201"/>
      <c r="O404" s="202"/>
      <c r="P404" s="202"/>
      <c r="Q404" s="199"/>
      <c r="R404" s="202"/>
      <c r="S404" s="202"/>
      <c r="T404" s="202"/>
      <c r="U404" s="202"/>
      <c r="V404" s="196"/>
    </row>
    <row r="405" spans="1:22">
      <c r="A405" s="191"/>
      <c r="B405" s="168"/>
      <c r="C405" s="188"/>
      <c r="D405" s="189"/>
      <c r="E405" s="189"/>
      <c r="F405" s="189"/>
      <c r="G405" s="189"/>
      <c r="H405" s="189"/>
      <c r="I405" s="189"/>
      <c r="J405" s="190"/>
      <c r="K405" s="190"/>
      <c r="L405" s="189"/>
      <c r="M405" s="189"/>
      <c r="N405" s="189"/>
      <c r="O405" s="190"/>
      <c r="P405" s="190"/>
      <c r="Q405" s="189"/>
      <c r="R405" s="190"/>
      <c r="S405" s="190"/>
      <c r="T405" s="190"/>
      <c r="U405" s="190"/>
      <c r="V405" s="196"/>
    </row>
    <row r="406" spans="1:22">
      <c r="A406" s="191"/>
      <c r="B406" s="192"/>
      <c r="C406" s="193"/>
      <c r="D406" s="194"/>
      <c r="E406" s="194"/>
      <c r="F406" s="194"/>
      <c r="G406" s="194"/>
      <c r="H406" s="194"/>
      <c r="I406" s="194"/>
      <c r="J406" s="195"/>
      <c r="K406" s="195"/>
      <c r="L406" s="194"/>
      <c r="M406" s="194"/>
      <c r="N406" s="194"/>
      <c r="O406" s="195"/>
      <c r="P406" s="195"/>
      <c r="Q406" s="194"/>
      <c r="R406" s="195"/>
      <c r="S406" s="195"/>
      <c r="T406" s="195"/>
      <c r="U406" s="195"/>
      <c r="V406" s="196"/>
    </row>
    <row r="407" spans="1:22">
      <c r="A407" s="191"/>
      <c r="B407" s="197"/>
      <c r="C407" s="198"/>
      <c r="D407" s="199"/>
      <c r="E407" s="199"/>
      <c r="F407" s="199"/>
      <c r="G407" s="199"/>
      <c r="H407" s="199"/>
      <c r="I407" s="199"/>
      <c r="J407" s="202"/>
      <c r="K407" s="202"/>
      <c r="L407" s="199"/>
      <c r="M407" s="199"/>
      <c r="N407" s="199"/>
      <c r="O407" s="202"/>
      <c r="P407" s="202"/>
      <c r="Q407" s="199"/>
      <c r="R407" s="202"/>
      <c r="S407" s="202"/>
      <c r="T407" s="202"/>
      <c r="U407" s="202"/>
      <c r="V407" s="196"/>
    </row>
    <row r="408" spans="1:22">
      <c r="A408" s="191"/>
      <c r="B408" s="168"/>
      <c r="C408" s="188"/>
      <c r="D408" s="189"/>
      <c r="E408" s="189"/>
      <c r="F408" s="189"/>
      <c r="G408" s="189"/>
      <c r="H408" s="189"/>
      <c r="I408" s="189"/>
      <c r="J408" s="190"/>
      <c r="K408" s="190"/>
      <c r="L408" s="189"/>
      <c r="M408" s="189"/>
      <c r="N408" s="189"/>
      <c r="O408" s="190"/>
      <c r="P408" s="190"/>
      <c r="Q408" s="189"/>
      <c r="R408" s="190"/>
      <c r="S408" s="190"/>
      <c r="T408" s="190"/>
      <c r="U408" s="190"/>
      <c r="V408" s="196"/>
    </row>
    <row r="409" spans="1:22">
      <c r="A409" s="191"/>
      <c r="B409" s="192"/>
      <c r="C409" s="193"/>
      <c r="D409" s="194"/>
      <c r="E409" s="194"/>
      <c r="F409" s="194"/>
      <c r="G409" s="194"/>
      <c r="H409" s="194"/>
      <c r="I409" s="194"/>
      <c r="J409" s="195"/>
      <c r="K409" s="195"/>
      <c r="L409" s="194"/>
      <c r="M409" s="194"/>
      <c r="N409" s="194"/>
      <c r="O409" s="195"/>
      <c r="P409" s="195"/>
      <c r="Q409" s="194"/>
      <c r="R409" s="195"/>
      <c r="S409" s="195"/>
      <c r="T409" s="195"/>
      <c r="U409" s="195"/>
      <c r="V409" s="196"/>
    </row>
    <row r="410" spans="1:22">
      <c r="A410" s="191"/>
      <c r="B410" s="197"/>
      <c r="C410" s="198"/>
      <c r="D410" s="199"/>
      <c r="E410" s="199"/>
      <c r="F410" s="199"/>
      <c r="G410" s="199"/>
      <c r="H410" s="199"/>
      <c r="I410" s="199"/>
      <c r="J410" s="202"/>
      <c r="K410" s="202"/>
      <c r="L410" s="199"/>
      <c r="M410" s="199"/>
      <c r="N410" s="201"/>
      <c r="O410" s="202"/>
      <c r="P410" s="202"/>
      <c r="Q410" s="199"/>
      <c r="R410" s="202"/>
      <c r="S410" s="202"/>
      <c r="T410" s="202"/>
      <c r="U410" s="202"/>
      <c r="V410" s="196"/>
    </row>
    <row r="411" spans="1:22">
      <c r="A411" s="191"/>
      <c r="B411" s="168"/>
      <c r="C411" s="188"/>
      <c r="D411" s="189"/>
      <c r="E411" s="189"/>
      <c r="F411" s="189"/>
      <c r="G411" s="189"/>
      <c r="H411" s="189"/>
      <c r="I411" s="189"/>
      <c r="J411" s="190"/>
      <c r="K411" s="190"/>
      <c r="L411" s="189"/>
      <c r="M411" s="189"/>
      <c r="N411" s="189"/>
      <c r="O411" s="190"/>
      <c r="P411" s="190"/>
      <c r="Q411" s="189"/>
      <c r="R411" s="190"/>
      <c r="S411" s="190"/>
      <c r="T411" s="190"/>
      <c r="U411" s="190"/>
      <c r="V411" s="196"/>
    </row>
    <row r="412" spans="1:22">
      <c r="A412" s="191"/>
      <c r="B412" s="192"/>
      <c r="C412" s="205"/>
      <c r="D412" s="194"/>
      <c r="E412" s="194"/>
      <c r="F412" s="194"/>
      <c r="G412" s="194"/>
      <c r="H412" s="203"/>
      <c r="I412" s="194"/>
      <c r="J412" s="195"/>
      <c r="K412" s="195"/>
      <c r="L412" s="194"/>
      <c r="M412" s="194"/>
      <c r="N412" s="194"/>
      <c r="O412" s="195"/>
      <c r="P412" s="195"/>
      <c r="Q412" s="194"/>
      <c r="R412" s="195"/>
      <c r="S412" s="195"/>
      <c r="T412" s="195"/>
      <c r="U412" s="195"/>
      <c r="V412" s="196"/>
    </row>
    <row r="413" spans="1:22">
      <c r="A413" s="191"/>
      <c r="B413" s="197"/>
      <c r="C413" s="218"/>
      <c r="D413" s="199"/>
      <c r="E413" s="199"/>
      <c r="F413" s="199"/>
      <c r="G413" s="199"/>
      <c r="H413" s="201"/>
      <c r="I413" s="199"/>
      <c r="J413" s="202"/>
      <c r="K413" s="202"/>
      <c r="L413" s="199"/>
      <c r="M413" s="199"/>
      <c r="N413" s="199"/>
      <c r="O413" s="202"/>
      <c r="P413" s="202"/>
      <c r="Q413" s="199"/>
      <c r="R413" s="202"/>
      <c r="S413" s="202"/>
      <c r="T413" s="202"/>
      <c r="U413" s="202"/>
      <c r="V413" s="196"/>
    </row>
    <row r="414" spans="1:22">
      <c r="A414" s="191"/>
      <c r="B414" s="168"/>
      <c r="C414" s="188"/>
      <c r="D414" s="189"/>
      <c r="E414" s="189"/>
      <c r="F414" s="189"/>
      <c r="G414" s="189"/>
      <c r="H414" s="189"/>
      <c r="I414" s="189"/>
      <c r="J414" s="190"/>
      <c r="K414" s="190"/>
      <c r="L414" s="189"/>
      <c r="M414" s="189"/>
      <c r="N414" s="189"/>
      <c r="O414" s="190"/>
      <c r="P414" s="190"/>
      <c r="Q414" s="189"/>
      <c r="R414" s="190"/>
      <c r="S414" s="190"/>
      <c r="T414" s="190"/>
      <c r="U414" s="190"/>
      <c r="V414" s="196"/>
    </row>
    <row r="415" spans="1:22">
      <c r="A415" s="191"/>
      <c r="B415" s="192"/>
      <c r="C415" s="205"/>
      <c r="D415" s="194"/>
      <c r="E415" s="194"/>
      <c r="F415" s="194"/>
      <c r="G415" s="194"/>
      <c r="H415" s="194"/>
      <c r="I415" s="194"/>
      <c r="J415" s="195"/>
      <c r="K415" s="195"/>
      <c r="L415" s="194"/>
      <c r="M415" s="194"/>
      <c r="N415" s="194"/>
      <c r="O415" s="195"/>
      <c r="P415" s="195"/>
      <c r="Q415" s="194"/>
      <c r="R415" s="195"/>
      <c r="S415" s="195"/>
      <c r="T415" s="195"/>
      <c r="U415" s="195"/>
      <c r="V415" s="196"/>
    </row>
    <row r="416" spans="1:22">
      <c r="A416" s="191"/>
      <c r="B416" s="197"/>
      <c r="C416" s="218"/>
      <c r="D416" s="199"/>
      <c r="E416" s="199"/>
      <c r="F416" s="199"/>
      <c r="G416" s="199"/>
      <c r="H416" s="199"/>
      <c r="I416" s="199"/>
      <c r="J416" s="202"/>
      <c r="K416" s="202"/>
      <c r="L416" s="199"/>
      <c r="M416" s="199"/>
      <c r="N416" s="199"/>
      <c r="O416" s="202"/>
      <c r="P416" s="202"/>
      <c r="Q416" s="199"/>
      <c r="R416" s="202"/>
      <c r="S416" s="202"/>
      <c r="T416" s="202"/>
      <c r="U416" s="202"/>
      <c r="V416" s="196"/>
    </row>
    <row r="417" spans="1:22">
      <c r="A417" s="191"/>
      <c r="B417" s="168"/>
      <c r="C417" s="188"/>
      <c r="D417" s="189"/>
      <c r="E417" s="189"/>
      <c r="F417" s="189"/>
      <c r="G417" s="189"/>
      <c r="H417" s="189"/>
      <c r="I417" s="189"/>
      <c r="J417" s="190"/>
      <c r="K417" s="190"/>
      <c r="L417" s="189"/>
      <c r="M417" s="189"/>
      <c r="N417" s="189"/>
      <c r="O417" s="190"/>
      <c r="P417" s="190"/>
      <c r="Q417" s="189"/>
      <c r="R417" s="190"/>
      <c r="S417" s="190"/>
      <c r="T417" s="190"/>
      <c r="U417" s="190"/>
      <c r="V417" s="196"/>
    </row>
    <row r="418" spans="1:22">
      <c r="A418" s="191"/>
      <c r="B418" s="192"/>
      <c r="C418" s="193"/>
      <c r="D418" s="194"/>
      <c r="E418" s="194"/>
      <c r="F418" s="194"/>
      <c r="G418" s="194"/>
      <c r="H418" s="194"/>
      <c r="I418" s="194"/>
      <c r="J418" s="195"/>
      <c r="K418" s="195"/>
      <c r="L418" s="194"/>
      <c r="M418" s="194"/>
      <c r="N418" s="194"/>
      <c r="O418" s="195"/>
      <c r="P418" s="195"/>
      <c r="Q418" s="194"/>
      <c r="R418" s="195"/>
      <c r="S418" s="195"/>
      <c r="T418" s="195"/>
      <c r="U418" s="195"/>
      <c r="V418" s="196"/>
    </row>
    <row r="419" spans="1:22" ht="15.75" thickBot="1">
      <c r="A419" s="191"/>
      <c r="B419" s="206"/>
      <c r="C419" s="207"/>
      <c r="D419" s="208"/>
      <c r="E419" s="208"/>
      <c r="F419" s="208"/>
      <c r="G419" s="208"/>
      <c r="H419" s="208"/>
      <c r="I419" s="208"/>
      <c r="J419" s="209"/>
      <c r="K419" s="209"/>
      <c r="L419" s="208"/>
      <c r="M419" s="208"/>
      <c r="N419" s="208"/>
      <c r="O419" s="209"/>
      <c r="P419" s="209"/>
      <c r="Q419" s="208"/>
      <c r="R419" s="209"/>
      <c r="S419" s="209"/>
      <c r="T419" s="209"/>
      <c r="U419" s="209"/>
      <c r="V419" s="196"/>
    </row>
    <row r="420" spans="1:22" ht="15.75" thickTop="1">
      <c r="A420" s="191"/>
      <c r="B420" s="192"/>
      <c r="C420" s="193"/>
      <c r="D420" s="194"/>
      <c r="E420" s="194"/>
      <c r="F420" s="194"/>
      <c r="G420" s="194"/>
      <c r="H420" s="194"/>
      <c r="I420" s="194"/>
      <c r="J420" s="195"/>
      <c r="K420" s="195"/>
      <c r="L420" s="194"/>
      <c r="M420" s="194"/>
      <c r="N420" s="194"/>
      <c r="O420" s="195"/>
      <c r="P420" s="195"/>
      <c r="Q420" s="194"/>
      <c r="R420" s="195"/>
      <c r="S420" s="195"/>
      <c r="T420" s="195"/>
      <c r="U420" s="195"/>
      <c r="V420" s="196"/>
    </row>
    <row r="421" spans="1:22">
      <c r="A421" s="191"/>
      <c r="B421" s="192"/>
      <c r="C421" s="193"/>
      <c r="D421" s="194"/>
      <c r="E421" s="194"/>
      <c r="F421" s="194"/>
      <c r="G421" s="194"/>
      <c r="H421" s="194"/>
      <c r="I421" s="194"/>
      <c r="J421" s="195"/>
      <c r="K421" s="195"/>
      <c r="L421" s="194"/>
      <c r="M421" s="194"/>
      <c r="N421" s="194"/>
      <c r="O421" s="195"/>
      <c r="P421" s="195"/>
      <c r="Q421" s="194"/>
      <c r="R421" s="195"/>
      <c r="S421" s="195"/>
      <c r="T421" s="195"/>
      <c r="U421" s="195"/>
      <c r="V421" s="196"/>
    </row>
    <row r="422" spans="1:22">
      <c r="A422" s="191"/>
      <c r="B422" s="197"/>
      <c r="C422" s="198"/>
      <c r="D422" s="199"/>
      <c r="E422" s="199"/>
      <c r="F422" s="199"/>
      <c r="G422" s="199"/>
      <c r="H422" s="201"/>
      <c r="I422" s="199"/>
      <c r="J422" s="202"/>
      <c r="K422" s="202"/>
      <c r="L422" s="199"/>
      <c r="M422" s="199"/>
      <c r="N422" s="199"/>
      <c r="O422" s="202"/>
      <c r="P422" s="202"/>
      <c r="Q422" s="199"/>
      <c r="R422" s="202"/>
      <c r="S422" s="202"/>
      <c r="T422" s="202"/>
      <c r="U422" s="202"/>
      <c r="V422" s="196"/>
    </row>
    <row r="423" spans="1:22">
      <c r="A423" s="191"/>
      <c r="B423" s="168"/>
      <c r="C423" s="188"/>
      <c r="D423" s="189"/>
      <c r="E423" s="189"/>
      <c r="F423" s="189"/>
      <c r="G423" s="189"/>
      <c r="H423" s="189"/>
      <c r="I423" s="189"/>
      <c r="J423" s="190"/>
      <c r="K423" s="190"/>
      <c r="L423" s="189"/>
      <c r="M423" s="189"/>
      <c r="N423" s="189"/>
      <c r="O423" s="190"/>
      <c r="P423" s="190"/>
      <c r="Q423" s="189"/>
      <c r="R423" s="190"/>
      <c r="S423" s="190"/>
      <c r="T423" s="190"/>
      <c r="U423" s="190"/>
      <c r="V423" s="196"/>
    </row>
    <row r="424" spans="1:22">
      <c r="A424" s="191"/>
      <c r="B424" s="192"/>
      <c r="C424" s="193"/>
      <c r="D424" s="194"/>
      <c r="E424" s="194"/>
      <c r="F424" s="194"/>
      <c r="G424" s="194"/>
      <c r="H424" s="194"/>
      <c r="I424" s="194"/>
      <c r="J424" s="195"/>
      <c r="K424" s="195"/>
      <c r="L424" s="194"/>
      <c r="M424" s="194"/>
      <c r="N424" s="194"/>
      <c r="O424" s="195"/>
      <c r="P424" s="195"/>
      <c r="Q424" s="194"/>
      <c r="R424" s="195"/>
      <c r="S424" s="195"/>
      <c r="T424" s="195"/>
      <c r="U424" s="195"/>
      <c r="V424" s="196"/>
    </row>
    <row r="425" spans="1:22">
      <c r="A425" s="191"/>
      <c r="B425" s="197"/>
      <c r="C425" s="198"/>
      <c r="D425" s="199"/>
      <c r="E425" s="199"/>
      <c r="F425" s="199"/>
      <c r="G425" s="199"/>
      <c r="H425" s="199"/>
      <c r="I425" s="199"/>
      <c r="J425" s="202"/>
      <c r="K425" s="202"/>
      <c r="L425" s="199"/>
      <c r="M425" s="199"/>
      <c r="N425" s="199"/>
      <c r="O425" s="202"/>
      <c r="P425" s="202"/>
      <c r="Q425" s="199"/>
      <c r="R425" s="202"/>
      <c r="S425" s="202"/>
      <c r="T425" s="202"/>
      <c r="U425" s="202"/>
      <c r="V425" s="196"/>
    </row>
    <row r="426" spans="1:22">
      <c r="A426" s="191"/>
      <c r="B426" s="168"/>
      <c r="C426" s="188"/>
      <c r="D426" s="189"/>
      <c r="E426" s="189"/>
      <c r="F426" s="189"/>
      <c r="G426" s="189"/>
      <c r="H426" s="189"/>
      <c r="I426" s="189"/>
      <c r="J426" s="190"/>
      <c r="K426" s="190"/>
      <c r="L426" s="189"/>
      <c r="M426" s="189"/>
      <c r="N426" s="189"/>
      <c r="O426" s="190"/>
      <c r="P426" s="190"/>
      <c r="Q426" s="189"/>
      <c r="R426" s="190"/>
      <c r="S426" s="190"/>
      <c r="T426" s="190"/>
      <c r="U426" s="190"/>
      <c r="V426" s="196"/>
    </row>
    <row r="427" spans="1:22">
      <c r="A427" s="191"/>
      <c r="B427" s="192"/>
      <c r="C427" s="193"/>
      <c r="D427" s="194"/>
      <c r="E427" s="194"/>
      <c r="F427" s="194"/>
      <c r="G427" s="194"/>
      <c r="H427" s="194"/>
      <c r="I427" s="194"/>
      <c r="J427" s="195"/>
      <c r="K427" s="195"/>
      <c r="L427" s="194"/>
      <c r="M427" s="194"/>
      <c r="N427" s="194"/>
      <c r="O427" s="195"/>
      <c r="P427" s="195"/>
      <c r="Q427" s="194"/>
      <c r="R427" s="195"/>
      <c r="S427" s="195"/>
      <c r="T427" s="195"/>
      <c r="U427" s="195"/>
      <c r="V427" s="196"/>
    </row>
    <row r="428" spans="1:22">
      <c r="A428" s="191"/>
      <c r="B428" s="197"/>
      <c r="C428" s="198"/>
      <c r="D428" s="199"/>
      <c r="E428" s="199"/>
      <c r="F428" s="199"/>
      <c r="G428" s="199"/>
      <c r="H428" s="201"/>
      <c r="I428" s="199"/>
      <c r="J428" s="202"/>
      <c r="K428" s="202"/>
      <c r="L428" s="199"/>
      <c r="M428" s="199"/>
      <c r="N428" s="199"/>
      <c r="O428" s="202"/>
      <c r="P428" s="202"/>
      <c r="Q428" s="199"/>
      <c r="R428" s="202"/>
      <c r="S428" s="202"/>
      <c r="T428" s="202"/>
      <c r="U428" s="202"/>
      <c r="V428" s="196"/>
    </row>
    <row r="429" spans="1:22">
      <c r="A429" s="191"/>
      <c r="B429" s="168"/>
      <c r="C429" s="188"/>
      <c r="D429" s="189"/>
      <c r="E429" s="189"/>
      <c r="F429" s="189"/>
      <c r="G429" s="189"/>
      <c r="H429" s="189"/>
      <c r="I429" s="189"/>
      <c r="J429" s="190"/>
      <c r="K429" s="190"/>
      <c r="L429" s="189"/>
      <c r="M429" s="189"/>
      <c r="N429" s="189"/>
      <c r="O429" s="190"/>
      <c r="P429" s="190"/>
      <c r="Q429" s="189"/>
      <c r="R429" s="190"/>
      <c r="S429" s="190"/>
      <c r="T429" s="190"/>
      <c r="U429" s="190"/>
      <c r="V429" s="196"/>
    </row>
    <row r="430" spans="1:22">
      <c r="A430" s="191"/>
      <c r="B430" s="192"/>
      <c r="C430" s="193"/>
      <c r="D430" s="194"/>
      <c r="E430" s="194"/>
      <c r="F430" s="194"/>
      <c r="G430" s="194"/>
      <c r="H430" s="203"/>
      <c r="I430" s="194"/>
      <c r="J430" s="195"/>
      <c r="K430" s="195"/>
      <c r="L430" s="194"/>
      <c r="M430" s="194"/>
      <c r="N430" s="194"/>
      <c r="O430" s="195"/>
      <c r="P430" s="195"/>
      <c r="Q430" s="194"/>
      <c r="R430" s="195"/>
      <c r="S430" s="195"/>
      <c r="T430" s="195"/>
      <c r="U430" s="195"/>
      <c r="V430" s="196"/>
    </row>
    <row r="431" spans="1:22">
      <c r="A431" s="191"/>
      <c r="B431" s="197"/>
      <c r="C431" s="198"/>
      <c r="D431" s="199"/>
      <c r="E431" s="199"/>
      <c r="F431" s="199"/>
      <c r="G431" s="199"/>
      <c r="H431" s="201"/>
      <c r="I431" s="199"/>
      <c r="J431" s="202"/>
      <c r="K431" s="202"/>
      <c r="L431" s="199"/>
      <c r="M431" s="199"/>
      <c r="N431" s="199"/>
      <c r="O431" s="202"/>
      <c r="P431" s="202"/>
      <c r="Q431" s="199"/>
      <c r="R431" s="202"/>
      <c r="S431" s="202"/>
      <c r="T431" s="202"/>
      <c r="U431" s="202"/>
      <c r="V431" s="196"/>
    </row>
    <row r="432" spans="1:22">
      <c r="A432" s="191"/>
      <c r="B432" s="168"/>
      <c r="C432" s="188"/>
      <c r="D432" s="189"/>
      <c r="E432" s="189"/>
      <c r="F432" s="189"/>
      <c r="G432" s="189"/>
      <c r="H432" s="189"/>
      <c r="I432" s="189"/>
      <c r="J432" s="190"/>
      <c r="K432" s="190"/>
      <c r="L432" s="189"/>
      <c r="M432" s="189"/>
      <c r="N432" s="189"/>
      <c r="O432" s="190"/>
      <c r="P432" s="190"/>
      <c r="Q432" s="189"/>
      <c r="R432" s="190"/>
      <c r="S432" s="190"/>
      <c r="T432" s="190"/>
      <c r="U432" s="190"/>
      <c r="V432" s="196"/>
    </row>
    <row r="433" spans="1:22">
      <c r="A433" s="191"/>
      <c r="B433" s="192"/>
      <c r="C433" s="193"/>
      <c r="D433" s="194"/>
      <c r="E433" s="194"/>
      <c r="F433" s="194"/>
      <c r="G433" s="194"/>
      <c r="H433" s="203"/>
      <c r="I433" s="194"/>
      <c r="J433" s="195"/>
      <c r="K433" s="195"/>
      <c r="L433" s="194"/>
      <c r="M433" s="194"/>
      <c r="N433" s="194"/>
      <c r="O433" s="195"/>
      <c r="P433" s="195"/>
      <c r="Q433" s="194"/>
      <c r="R433" s="195"/>
      <c r="S433" s="195"/>
      <c r="T433" s="195"/>
      <c r="U433" s="195"/>
      <c r="V433" s="196"/>
    </row>
    <row r="434" spans="1:22">
      <c r="A434" s="191"/>
      <c r="B434" s="197"/>
      <c r="C434" s="198"/>
      <c r="D434" s="199"/>
      <c r="E434" s="199"/>
      <c r="F434" s="199"/>
      <c r="G434" s="199"/>
      <c r="H434" s="199"/>
      <c r="I434" s="199"/>
      <c r="J434" s="202"/>
      <c r="K434" s="202"/>
      <c r="L434" s="199"/>
      <c r="M434" s="199"/>
      <c r="N434" s="199"/>
      <c r="O434" s="202"/>
      <c r="P434" s="202"/>
      <c r="Q434" s="199"/>
      <c r="R434" s="202"/>
      <c r="S434" s="202"/>
      <c r="T434" s="202"/>
      <c r="U434" s="202"/>
      <c r="V434" s="196"/>
    </row>
    <row r="435" spans="1:22">
      <c r="A435" s="191"/>
      <c r="B435" s="168"/>
      <c r="C435" s="188"/>
      <c r="D435" s="189"/>
      <c r="E435" s="189"/>
      <c r="F435" s="189"/>
      <c r="G435" s="189"/>
      <c r="H435" s="189"/>
      <c r="I435" s="189"/>
      <c r="J435" s="190"/>
      <c r="K435" s="190"/>
      <c r="L435" s="189"/>
      <c r="M435" s="189"/>
      <c r="N435" s="189"/>
      <c r="O435" s="190"/>
      <c r="P435" s="190"/>
      <c r="Q435" s="189"/>
      <c r="R435" s="190"/>
      <c r="S435" s="190"/>
      <c r="T435" s="190"/>
      <c r="U435" s="190"/>
      <c r="V435" s="196"/>
    </row>
    <row r="436" spans="1:22">
      <c r="A436" s="191"/>
      <c r="B436" s="192"/>
      <c r="C436" s="193"/>
      <c r="D436" s="194"/>
      <c r="E436" s="194"/>
      <c r="F436" s="194"/>
      <c r="G436" s="194"/>
      <c r="H436" s="194"/>
      <c r="I436" s="194"/>
      <c r="J436" s="195"/>
      <c r="K436" s="195"/>
      <c r="L436" s="194"/>
      <c r="M436" s="194"/>
      <c r="N436" s="194"/>
      <c r="O436" s="195"/>
      <c r="P436" s="195"/>
      <c r="Q436" s="194"/>
      <c r="R436" s="195"/>
      <c r="S436" s="195"/>
      <c r="T436" s="195"/>
      <c r="U436" s="195"/>
      <c r="V436" s="196"/>
    </row>
    <row r="437" spans="1:22" ht="15.75" thickBot="1">
      <c r="A437" s="210"/>
      <c r="B437" s="211"/>
      <c r="C437" s="212"/>
      <c r="D437" s="213"/>
      <c r="E437" s="213"/>
      <c r="F437" s="213"/>
      <c r="G437" s="213"/>
      <c r="H437" s="213"/>
      <c r="I437" s="213"/>
      <c r="J437" s="214"/>
      <c r="K437" s="214"/>
      <c r="L437" s="213"/>
      <c r="M437" s="213"/>
      <c r="N437" s="213"/>
      <c r="O437" s="214"/>
      <c r="P437" s="214"/>
      <c r="Q437" s="213"/>
      <c r="R437" s="214"/>
      <c r="S437" s="214"/>
      <c r="T437" s="214"/>
      <c r="U437" s="214"/>
      <c r="V437" s="196"/>
    </row>
    <row r="438" spans="1:22">
      <c r="A438" s="187"/>
      <c r="B438" s="168"/>
      <c r="C438" s="188"/>
      <c r="D438" s="189"/>
      <c r="E438" s="189"/>
      <c r="F438" s="189"/>
      <c r="G438" s="189"/>
      <c r="H438" s="189"/>
      <c r="I438" s="189"/>
      <c r="J438" s="190"/>
      <c r="K438" s="190"/>
      <c r="L438" s="189"/>
      <c r="M438" s="189"/>
      <c r="N438" s="189"/>
      <c r="O438" s="190"/>
      <c r="P438" s="190"/>
      <c r="Q438" s="189"/>
      <c r="R438" s="190"/>
      <c r="S438" s="190"/>
      <c r="T438" s="190"/>
      <c r="U438" s="190"/>
      <c r="V438" s="196"/>
    </row>
    <row r="439" spans="1:22">
      <c r="A439" s="191"/>
      <c r="B439" s="192"/>
      <c r="C439" s="193"/>
      <c r="D439" s="194"/>
      <c r="E439" s="194"/>
      <c r="F439" s="194"/>
      <c r="G439" s="194"/>
      <c r="H439" s="194"/>
      <c r="I439" s="194"/>
      <c r="J439" s="195"/>
      <c r="K439" s="195"/>
      <c r="L439" s="194"/>
      <c r="M439" s="194"/>
      <c r="N439" s="194"/>
      <c r="O439" s="195"/>
      <c r="P439" s="195"/>
      <c r="Q439" s="194"/>
      <c r="R439" s="195"/>
      <c r="S439" s="195"/>
      <c r="T439" s="195"/>
      <c r="U439" s="195"/>
      <c r="V439" s="196"/>
    </row>
    <row r="440" spans="1:22">
      <c r="A440" s="191"/>
      <c r="B440" s="197"/>
      <c r="C440" s="198"/>
      <c r="D440" s="199"/>
      <c r="E440" s="199"/>
      <c r="F440" s="199"/>
      <c r="G440" s="199"/>
      <c r="H440" s="199"/>
      <c r="I440" s="199"/>
      <c r="J440" s="202"/>
      <c r="K440" s="202"/>
      <c r="L440" s="199"/>
      <c r="M440" s="199"/>
      <c r="N440" s="199"/>
      <c r="O440" s="202"/>
      <c r="P440" s="202"/>
      <c r="Q440" s="199"/>
      <c r="R440" s="202"/>
      <c r="S440" s="202"/>
      <c r="T440" s="202"/>
      <c r="U440" s="202"/>
      <c r="V440" s="196"/>
    </row>
    <row r="441" spans="1:22">
      <c r="A441" s="191"/>
      <c r="B441" s="168"/>
      <c r="C441" s="188"/>
      <c r="D441" s="189"/>
      <c r="E441" s="189"/>
      <c r="F441" s="189"/>
      <c r="G441" s="189"/>
      <c r="H441" s="189"/>
      <c r="I441" s="189"/>
      <c r="J441" s="190"/>
      <c r="K441" s="190"/>
      <c r="L441" s="189"/>
      <c r="M441" s="189"/>
      <c r="N441" s="189"/>
      <c r="O441" s="190"/>
      <c r="P441" s="190"/>
      <c r="Q441" s="189"/>
      <c r="R441" s="190"/>
      <c r="S441" s="190"/>
      <c r="T441" s="190"/>
      <c r="U441" s="190"/>
      <c r="V441" s="196"/>
    </row>
    <row r="442" spans="1:22">
      <c r="A442" s="191"/>
      <c r="B442" s="192"/>
      <c r="C442" s="193"/>
      <c r="D442" s="194"/>
      <c r="E442" s="194"/>
      <c r="F442" s="194"/>
      <c r="G442" s="194"/>
      <c r="H442" s="194"/>
      <c r="I442" s="194"/>
      <c r="J442" s="195"/>
      <c r="K442" s="195"/>
      <c r="L442" s="194"/>
      <c r="M442" s="194"/>
      <c r="N442" s="194"/>
      <c r="O442" s="195"/>
      <c r="P442" s="195"/>
      <c r="Q442" s="194"/>
      <c r="R442" s="195"/>
      <c r="S442" s="195"/>
      <c r="T442" s="195"/>
      <c r="U442" s="195"/>
      <c r="V442" s="196"/>
    </row>
    <row r="443" spans="1:22">
      <c r="A443" s="191"/>
      <c r="B443" s="197"/>
      <c r="C443" s="198"/>
      <c r="D443" s="199"/>
      <c r="E443" s="199"/>
      <c r="F443" s="199"/>
      <c r="G443" s="199"/>
      <c r="H443" s="199"/>
      <c r="I443" s="199"/>
      <c r="J443" s="202"/>
      <c r="K443" s="202"/>
      <c r="L443" s="199"/>
      <c r="M443" s="199"/>
      <c r="N443" s="199"/>
      <c r="O443" s="202"/>
      <c r="P443" s="202"/>
      <c r="Q443" s="199"/>
      <c r="R443" s="202"/>
      <c r="S443" s="202"/>
      <c r="T443" s="202"/>
      <c r="U443" s="202"/>
      <c r="V443" s="196"/>
    </row>
    <row r="444" spans="1:22">
      <c r="A444" s="191"/>
      <c r="B444" s="168"/>
      <c r="C444" s="188"/>
      <c r="D444" s="189"/>
      <c r="E444" s="189"/>
      <c r="F444" s="189"/>
      <c r="G444" s="189"/>
      <c r="H444" s="189"/>
      <c r="I444" s="189"/>
      <c r="J444" s="190"/>
      <c r="K444" s="190"/>
      <c r="L444" s="189"/>
      <c r="M444" s="189"/>
      <c r="N444" s="189"/>
      <c r="O444" s="190"/>
      <c r="P444" s="190"/>
      <c r="Q444" s="189"/>
      <c r="R444" s="190"/>
      <c r="S444" s="190"/>
      <c r="T444" s="190"/>
      <c r="U444" s="190"/>
      <c r="V444" s="196"/>
    </row>
    <row r="445" spans="1:22">
      <c r="A445" s="191"/>
      <c r="B445" s="192"/>
      <c r="C445" s="193"/>
      <c r="D445" s="194"/>
      <c r="E445" s="194"/>
      <c r="F445" s="194"/>
      <c r="G445" s="194"/>
      <c r="H445" s="194"/>
      <c r="I445" s="194"/>
      <c r="J445" s="195"/>
      <c r="K445" s="195"/>
      <c r="L445" s="194"/>
      <c r="M445" s="194"/>
      <c r="N445" s="194"/>
      <c r="O445" s="195"/>
      <c r="P445" s="195"/>
      <c r="Q445" s="194"/>
      <c r="R445" s="195"/>
      <c r="S445" s="195"/>
      <c r="T445" s="195"/>
      <c r="U445" s="195"/>
      <c r="V445" s="196"/>
    </row>
    <row r="446" spans="1:22">
      <c r="A446" s="191"/>
      <c r="B446" s="197"/>
      <c r="C446" s="198"/>
      <c r="D446" s="199"/>
      <c r="E446" s="199"/>
      <c r="F446" s="199"/>
      <c r="G446" s="199"/>
      <c r="H446" s="199"/>
      <c r="I446" s="199"/>
      <c r="J446" s="202"/>
      <c r="K446" s="202"/>
      <c r="L446" s="199"/>
      <c r="M446" s="199"/>
      <c r="N446" s="199"/>
      <c r="O446" s="202"/>
      <c r="P446" s="202"/>
      <c r="Q446" s="199"/>
      <c r="R446" s="202"/>
      <c r="S446" s="202"/>
      <c r="T446" s="202"/>
      <c r="U446" s="202"/>
      <c r="V446" s="196"/>
    </row>
    <row r="447" spans="1:22">
      <c r="A447" s="191"/>
      <c r="B447" s="168"/>
      <c r="C447" s="188"/>
      <c r="D447" s="189"/>
      <c r="E447" s="189"/>
      <c r="F447" s="189"/>
      <c r="G447" s="189"/>
      <c r="H447" s="189"/>
      <c r="I447" s="189"/>
      <c r="J447" s="190"/>
      <c r="K447" s="190"/>
      <c r="L447" s="189"/>
      <c r="M447" s="189"/>
      <c r="N447" s="189"/>
      <c r="O447" s="190"/>
      <c r="P447" s="190"/>
      <c r="Q447" s="189"/>
      <c r="R447" s="190"/>
      <c r="S447" s="190"/>
      <c r="T447" s="190"/>
      <c r="U447" s="190"/>
      <c r="V447" s="196"/>
    </row>
    <row r="448" spans="1:22">
      <c r="A448" s="191"/>
      <c r="B448" s="192"/>
      <c r="C448" s="193"/>
      <c r="D448" s="194"/>
      <c r="E448" s="194"/>
      <c r="F448" s="194"/>
      <c r="G448" s="194"/>
      <c r="H448" s="194"/>
      <c r="I448" s="194"/>
      <c r="J448" s="195"/>
      <c r="K448" s="195"/>
      <c r="L448" s="194"/>
      <c r="M448" s="203"/>
      <c r="N448" s="194"/>
      <c r="O448" s="195"/>
      <c r="P448" s="195"/>
      <c r="Q448" s="194"/>
      <c r="R448" s="195"/>
      <c r="S448" s="195"/>
      <c r="T448" s="195"/>
      <c r="U448" s="195"/>
      <c r="V448" s="196"/>
    </row>
    <row r="449" spans="1:22">
      <c r="A449" s="191"/>
      <c r="B449" s="197"/>
      <c r="C449" s="198"/>
      <c r="D449" s="199"/>
      <c r="E449" s="199"/>
      <c r="F449" s="199"/>
      <c r="G449" s="199"/>
      <c r="H449" s="199"/>
      <c r="I449" s="199"/>
      <c r="J449" s="202"/>
      <c r="K449" s="202"/>
      <c r="L449" s="199"/>
      <c r="M449" s="201"/>
      <c r="N449" s="199"/>
      <c r="O449" s="202"/>
      <c r="P449" s="202"/>
      <c r="Q449" s="199"/>
      <c r="R449" s="202"/>
      <c r="S449" s="202"/>
      <c r="T449" s="202"/>
      <c r="U449" s="202"/>
      <c r="V449" s="196"/>
    </row>
    <row r="450" spans="1:22">
      <c r="A450" s="191"/>
      <c r="B450" s="168"/>
      <c r="C450" s="188"/>
      <c r="D450" s="189"/>
      <c r="E450" s="189"/>
      <c r="F450" s="189"/>
      <c r="G450" s="189"/>
      <c r="H450" s="189"/>
      <c r="I450" s="189"/>
      <c r="J450" s="190"/>
      <c r="K450" s="190"/>
      <c r="L450" s="189"/>
      <c r="M450" s="189"/>
      <c r="N450" s="189"/>
      <c r="O450" s="190"/>
      <c r="P450" s="190"/>
      <c r="Q450" s="189"/>
      <c r="R450" s="190"/>
      <c r="S450" s="190"/>
      <c r="T450" s="190"/>
      <c r="U450" s="190"/>
      <c r="V450" s="196"/>
    </row>
    <row r="451" spans="1:22">
      <c r="A451" s="191"/>
      <c r="B451" s="192"/>
      <c r="C451" s="193"/>
      <c r="D451" s="194"/>
      <c r="E451" s="194"/>
      <c r="F451" s="194"/>
      <c r="G451" s="194"/>
      <c r="H451" s="194"/>
      <c r="I451" s="194"/>
      <c r="J451" s="195"/>
      <c r="K451" s="195"/>
      <c r="L451" s="194"/>
      <c r="M451" s="194"/>
      <c r="N451" s="194"/>
      <c r="O451" s="195"/>
      <c r="P451" s="195"/>
      <c r="Q451" s="194"/>
      <c r="R451" s="195"/>
      <c r="S451" s="195"/>
      <c r="T451" s="195"/>
      <c r="U451" s="195"/>
      <c r="V451" s="196"/>
    </row>
    <row r="452" spans="1:22">
      <c r="A452" s="191"/>
      <c r="B452" s="197"/>
      <c r="C452" s="198"/>
      <c r="D452" s="199"/>
      <c r="E452" s="199"/>
      <c r="F452" s="199"/>
      <c r="G452" s="199"/>
      <c r="H452" s="199"/>
      <c r="I452" s="199"/>
      <c r="J452" s="202"/>
      <c r="K452" s="202"/>
      <c r="L452" s="199"/>
      <c r="M452" s="199"/>
      <c r="N452" s="199"/>
      <c r="O452" s="202"/>
      <c r="P452" s="202"/>
      <c r="Q452" s="199"/>
      <c r="R452" s="202"/>
      <c r="S452" s="202"/>
      <c r="T452" s="202"/>
      <c r="U452" s="202"/>
      <c r="V452" s="196"/>
    </row>
    <row r="453" spans="1:22">
      <c r="A453" s="191"/>
      <c r="B453" s="168"/>
      <c r="C453" s="188"/>
      <c r="D453" s="189"/>
      <c r="E453" s="189"/>
      <c r="F453" s="189"/>
      <c r="G453" s="189"/>
      <c r="H453" s="189"/>
      <c r="I453" s="189"/>
      <c r="J453" s="190"/>
      <c r="K453" s="190"/>
      <c r="L453" s="189"/>
      <c r="M453" s="189"/>
      <c r="N453" s="189"/>
      <c r="O453" s="190"/>
      <c r="P453" s="190"/>
      <c r="Q453" s="189"/>
      <c r="R453" s="190"/>
      <c r="S453" s="190"/>
      <c r="T453" s="190"/>
      <c r="U453" s="190"/>
      <c r="V453" s="196"/>
    </row>
    <row r="454" spans="1:22">
      <c r="A454" s="191"/>
      <c r="B454" s="192"/>
      <c r="C454" s="193"/>
      <c r="D454" s="194"/>
      <c r="E454" s="194"/>
      <c r="F454" s="194"/>
      <c r="G454" s="194"/>
      <c r="H454" s="194"/>
      <c r="I454" s="194"/>
      <c r="J454" s="195"/>
      <c r="K454" s="195"/>
      <c r="L454" s="194"/>
      <c r="M454" s="194"/>
      <c r="N454" s="194"/>
      <c r="O454" s="195"/>
      <c r="P454" s="195"/>
      <c r="Q454" s="194"/>
      <c r="R454" s="195"/>
      <c r="S454" s="195"/>
      <c r="T454" s="195"/>
      <c r="U454" s="195"/>
      <c r="V454" s="196"/>
    </row>
    <row r="455" spans="1:22" ht="15.75" thickBot="1">
      <c r="A455" s="191"/>
      <c r="B455" s="206"/>
      <c r="C455" s="207"/>
      <c r="D455" s="208"/>
      <c r="E455" s="208"/>
      <c r="F455" s="208"/>
      <c r="G455" s="208"/>
      <c r="H455" s="208"/>
      <c r="I455" s="208"/>
      <c r="J455" s="209"/>
      <c r="K455" s="209"/>
      <c r="L455" s="208"/>
      <c r="M455" s="208"/>
      <c r="N455" s="208"/>
      <c r="O455" s="209"/>
      <c r="P455" s="209"/>
      <c r="Q455" s="208"/>
      <c r="R455" s="209"/>
      <c r="S455" s="209"/>
      <c r="T455" s="209"/>
      <c r="U455" s="209"/>
      <c r="V455" s="196"/>
    </row>
    <row r="456" spans="1:22" ht="15.75" thickTop="1">
      <c r="A456" s="191"/>
      <c r="B456" s="192"/>
      <c r="C456" s="193"/>
      <c r="D456" s="194"/>
      <c r="E456" s="194"/>
      <c r="F456" s="194"/>
      <c r="G456" s="194"/>
      <c r="H456" s="194"/>
      <c r="I456" s="194"/>
      <c r="J456" s="195"/>
      <c r="K456" s="195"/>
      <c r="L456" s="194"/>
      <c r="M456" s="194"/>
      <c r="N456" s="194"/>
      <c r="O456" s="195"/>
      <c r="P456" s="195"/>
      <c r="Q456" s="194"/>
      <c r="R456" s="195"/>
      <c r="S456" s="195"/>
      <c r="T456" s="195"/>
      <c r="U456" s="195"/>
      <c r="V456" s="196"/>
    </row>
    <row r="457" spans="1:22">
      <c r="A457" s="191"/>
      <c r="B457" s="192"/>
      <c r="C457" s="193"/>
      <c r="D457" s="194"/>
      <c r="E457" s="194"/>
      <c r="F457" s="194"/>
      <c r="G457" s="194"/>
      <c r="H457" s="194"/>
      <c r="I457" s="194"/>
      <c r="J457" s="195"/>
      <c r="K457" s="195"/>
      <c r="L457" s="194"/>
      <c r="M457" s="194"/>
      <c r="N457" s="194"/>
      <c r="O457" s="195"/>
      <c r="P457" s="195"/>
      <c r="Q457" s="194"/>
      <c r="R457" s="195"/>
      <c r="S457" s="195"/>
      <c r="T457" s="195"/>
      <c r="U457" s="195"/>
      <c r="V457" s="196"/>
    </row>
    <row r="458" spans="1:22">
      <c r="A458" s="191"/>
      <c r="B458" s="197"/>
      <c r="C458" s="198"/>
      <c r="D458" s="199"/>
      <c r="E458" s="199"/>
      <c r="F458" s="199"/>
      <c r="G458" s="199"/>
      <c r="H458" s="199"/>
      <c r="I458" s="199"/>
      <c r="J458" s="202"/>
      <c r="K458" s="202"/>
      <c r="L458" s="199"/>
      <c r="M458" s="199"/>
      <c r="N458" s="199"/>
      <c r="O458" s="202"/>
      <c r="P458" s="202"/>
      <c r="Q458" s="199"/>
      <c r="R458" s="202"/>
      <c r="S458" s="202"/>
      <c r="T458" s="202"/>
      <c r="U458" s="202"/>
      <c r="V458" s="196"/>
    </row>
    <row r="459" spans="1:22">
      <c r="A459" s="191"/>
      <c r="B459" s="168"/>
      <c r="C459" s="188"/>
      <c r="D459" s="189"/>
      <c r="E459" s="189"/>
      <c r="F459" s="189"/>
      <c r="G459" s="189"/>
      <c r="H459" s="189"/>
      <c r="I459" s="189"/>
      <c r="J459" s="190"/>
      <c r="K459" s="190"/>
      <c r="L459" s="189"/>
      <c r="M459" s="189"/>
      <c r="N459" s="189"/>
      <c r="O459" s="190"/>
      <c r="P459" s="190"/>
      <c r="Q459" s="189"/>
      <c r="R459" s="190"/>
      <c r="S459" s="190"/>
      <c r="T459" s="190"/>
      <c r="U459" s="190"/>
      <c r="V459" s="196"/>
    </row>
    <row r="460" spans="1:22">
      <c r="A460" s="191"/>
      <c r="B460" s="192"/>
      <c r="C460" s="193"/>
      <c r="D460" s="194"/>
      <c r="E460" s="194"/>
      <c r="F460" s="194"/>
      <c r="G460" s="203"/>
      <c r="H460" s="194"/>
      <c r="I460" s="194"/>
      <c r="J460" s="195"/>
      <c r="K460" s="195"/>
      <c r="L460" s="194"/>
      <c r="M460" s="194"/>
      <c r="N460" s="194"/>
      <c r="O460" s="195"/>
      <c r="P460" s="195"/>
      <c r="Q460" s="194"/>
      <c r="R460" s="195"/>
      <c r="S460" s="195"/>
      <c r="T460" s="195"/>
      <c r="U460" s="195"/>
      <c r="V460" s="196"/>
    </row>
    <row r="461" spans="1:22">
      <c r="A461" s="191"/>
      <c r="B461" s="197"/>
      <c r="C461" s="198"/>
      <c r="D461" s="199"/>
      <c r="E461" s="199"/>
      <c r="F461" s="199"/>
      <c r="G461" s="199"/>
      <c r="H461" s="199"/>
      <c r="I461" s="199"/>
      <c r="J461" s="202"/>
      <c r="K461" s="202"/>
      <c r="L461" s="199"/>
      <c r="M461" s="199"/>
      <c r="N461" s="199"/>
      <c r="O461" s="202"/>
      <c r="P461" s="202"/>
      <c r="Q461" s="199"/>
      <c r="R461" s="202"/>
      <c r="S461" s="202"/>
      <c r="T461" s="202"/>
      <c r="U461" s="202"/>
      <c r="V461" s="196"/>
    </row>
    <row r="462" spans="1:22">
      <c r="A462" s="191"/>
      <c r="B462" s="168"/>
      <c r="C462" s="188"/>
      <c r="D462" s="189"/>
      <c r="E462" s="189"/>
      <c r="F462" s="189"/>
      <c r="G462" s="189"/>
      <c r="H462" s="189"/>
      <c r="I462" s="189"/>
      <c r="J462" s="190"/>
      <c r="K462" s="190"/>
      <c r="L462" s="189"/>
      <c r="M462" s="189"/>
      <c r="N462" s="189"/>
      <c r="O462" s="190"/>
      <c r="P462" s="190"/>
      <c r="Q462" s="189"/>
      <c r="R462" s="190"/>
      <c r="S462" s="190"/>
      <c r="T462" s="190"/>
      <c r="U462" s="190"/>
      <c r="V462" s="196"/>
    </row>
    <row r="463" spans="1:22">
      <c r="A463" s="191"/>
      <c r="B463" s="192"/>
      <c r="C463" s="193"/>
      <c r="D463" s="194"/>
      <c r="E463" s="194"/>
      <c r="F463" s="194"/>
      <c r="G463" s="194"/>
      <c r="H463" s="194"/>
      <c r="I463" s="194"/>
      <c r="J463" s="195"/>
      <c r="K463" s="195"/>
      <c r="L463" s="194"/>
      <c r="M463" s="194"/>
      <c r="N463" s="194"/>
      <c r="O463" s="195"/>
      <c r="P463" s="195"/>
      <c r="Q463" s="194"/>
      <c r="R463" s="195"/>
      <c r="S463" s="195"/>
      <c r="T463" s="195"/>
      <c r="U463" s="195"/>
      <c r="V463" s="196"/>
    </row>
    <row r="464" spans="1:22">
      <c r="A464" s="191"/>
      <c r="B464" s="197"/>
      <c r="C464" s="198"/>
      <c r="D464" s="199"/>
      <c r="E464" s="199"/>
      <c r="F464" s="199"/>
      <c r="G464" s="199"/>
      <c r="H464" s="199"/>
      <c r="I464" s="199"/>
      <c r="J464" s="202"/>
      <c r="K464" s="202"/>
      <c r="L464" s="199"/>
      <c r="M464" s="199"/>
      <c r="N464" s="199"/>
      <c r="O464" s="202"/>
      <c r="P464" s="202"/>
      <c r="Q464" s="199"/>
      <c r="R464" s="202"/>
      <c r="S464" s="202"/>
      <c r="T464" s="202"/>
      <c r="U464" s="202"/>
      <c r="V464" s="196"/>
    </row>
    <row r="465" spans="1:22">
      <c r="A465" s="191"/>
      <c r="B465" s="168"/>
      <c r="C465" s="188"/>
      <c r="D465" s="189"/>
      <c r="E465" s="189"/>
      <c r="F465" s="189"/>
      <c r="G465" s="189"/>
      <c r="H465" s="189"/>
      <c r="I465" s="189"/>
      <c r="J465" s="190"/>
      <c r="K465" s="190"/>
      <c r="L465" s="189"/>
      <c r="M465" s="189"/>
      <c r="N465" s="189"/>
      <c r="O465" s="190"/>
      <c r="P465" s="190"/>
      <c r="Q465" s="189"/>
      <c r="R465" s="190"/>
      <c r="S465" s="190"/>
      <c r="T465" s="190"/>
      <c r="U465" s="190"/>
      <c r="V465" s="196"/>
    </row>
    <row r="466" spans="1:22">
      <c r="A466" s="191"/>
      <c r="B466" s="192"/>
      <c r="C466" s="193"/>
      <c r="D466" s="194"/>
      <c r="E466" s="194"/>
      <c r="F466" s="194"/>
      <c r="G466" s="194"/>
      <c r="H466" s="194"/>
      <c r="I466" s="194"/>
      <c r="J466" s="195"/>
      <c r="K466" s="195"/>
      <c r="L466" s="194"/>
      <c r="M466" s="194"/>
      <c r="N466" s="194"/>
      <c r="O466" s="195"/>
      <c r="P466" s="195"/>
      <c r="Q466" s="194"/>
      <c r="R466" s="195"/>
      <c r="S466" s="195"/>
      <c r="T466" s="195"/>
      <c r="U466" s="195"/>
      <c r="V466" s="196"/>
    </row>
    <row r="467" spans="1:22">
      <c r="A467" s="191"/>
      <c r="B467" s="197"/>
      <c r="C467" s="198"/>
      <c r="D467" s="199"/>
      <c r="E467" s="199"/>
      <c r="F467" s="199"/>
      <c r="G467" s="199"/>
      <c r="H467" s="199"/>
      <c r="I467" s="199"/>
      <c r="J467" s="202"/>
      <c r="K467" s="202"/>
      <c r="L467" s="199"/>
      <c r="M467" s="199"/>
      <c r="N467" s="199"/>
      <c r="O467" s="202"/>
      <c r="P467" s="202"/>
      <c r="Q467" s="199"/>
      <c r="R467" s="202"/>
      <c r="S467" s="202"/>
      <c r="T467" s="202"/>
      <c r="U467" s="202"/>
      <c r="V467" s="196"/>
    </row>
    <row r="468" spans="1:22">
      <c r="A468" s="191"/>
      <c r="B468" s="168"/>
      <c r="C468" s="188"/>
      <c r="D468" s="189"/>
      <c r="E468" s="189"/>
      <c r="F468" s="189"/>
      <c r="G468" s="189"/>
      <c r="H468" s="189"/>
      <c r="I468" s="189"/>
      <c r="J468" s="190"/>
      <c r="K468" s="190"/>
      <c r="L468" s="189"/>
      <c r="M468" s="189"/>
      <c r="N468" s="189"/>
      <c r="O468" s="190"/>
      <c r="P468" s="190"/>
      <c r="Q468" s="189"/>
      <c r="R468" s="190"/>
      <c r="S468" s="190"/>
      <c r="T468" s="190"/>
      <c r="U468" s="190"/>
      <c r="V468" s="196"/>
    </row>
    <row r="469" spans="1:22">
      <c r="A469" s="191"/>
      <c r="B469" s="192"/>
      <c r="C469" s="193"/>
      <c r="D469" s="194"/>
      <c r="E469" s="194"/>
      <c r="F469" s="194"/>
      <c r="G469" s="194"/>
      <c r="H469" s="194"/>
      <c r="I469" s="194"/>
      <c r="J469" s="195"/>
      <c r="K469" s="195"/>
      <c r="L469" s="194"/>
      <c r="M469" s="194"/>
      <c r="N469" s="194"/>
      <c r="O469" s="195"/>
      <c r="P469" s="195"/>
      <c r="Q469" s="194"/>
      <c r="R469" s="195"/>
      <c r="S469" s="195"/>
      <c r="T469" s="195"/>
      <c r="U469" s="195"/>
      <c r="V469" s="196"/>
    </row>
    <row r="470" spans="1:22">
      <c r="A470" s="191"/>
      <c r="B470" s="197"/>
      <c r="C470" s="198"/>
      <c r="D470" s="199"/>
      <c r="E470" s="199"/>
      <c r="F470" s="199"/>
      <c r="G470" s="199"/>
      <c r="H470" s="199"/>
      <c r="I470" s="199"/>
      <c r="J470" s="202"/>
      <c r="K470" s="202"/>
      <c r="L470" s="199"/>
      <c r="M470" s="199"/>
      <c r="N470" s="199"/>
      <c r="O470" s="202"/>
      <c r="P470" s="202"/>
      <c r="Q470" s="199"/>
      <c r="R470" s="202"/>
      <c r="S470" s="202"/>
      <c r="T470" s="202"/>
      <c r="U470" s="202"/>
      <c r="V470" s="196"/>
    </row>
    <row r="471" spans="1:22">
      <c r="A471" s="191"/>
      <c r="B471" s="168"/>
      <c r="C471" s="188"/>
      <c r="D471" s="189"/>
      <c r="E471" s="189"/>
      <c r="F471" s="189"/>
      <c r="G471" s="189"/>
      <c r="H471" s="189"/>
      <c r="I471" s="189"/>
      <c r="J471" s="190"/>
      <c r="K471" s="190"/>
      <c r="L471" s="189"/>
      <c r="M471" s="189"/>
      <c r="N471" s="189"/>
      <c r="O471" s="190"/>
      <c r="P471" s="190"/>
      <c r="Q471" s="189"/>
      <c r="R471" s="190"/>
      <c r="S471" s="190"/>
      <c r="T471" s="190"/>
      <c r="U471" s="190"/>
      <c r="V471" s="196"/>
    </row>
    <row r="472" spans="1:22">
      <c r="A472" s="191"/>
      <c r="B472" s="192"/>
      <c r="C472" s="193"/>
      <c r="D472" s="194"/>
      <c r="E472" s="194"/>
      <c r="F472" s="194"/>
      <c r="G472" s="194"/>
      <c r="H472" s="194"/>
      <c r="I472" s="194"/>
      <c r="J472" s="195"/>
      <c r="K472" s="195"/>
      <c r="L472" s="194"/>
      <c r="M472" s="194"/>
      <c r="N472" s="194"/>
      <c r="O472" s="195"/>
      <c r="P472" s="195"/>
      <c r="Q472" s="194"/>
      <c r="R472" s="195"/>
      <c r="S472" s="195"/>
      <c r="T472" s="195"/>
      <c r="U472" s="195"/>
      <c r="V472" s="196"/>
    </row>
    <row r="473" spans="1:22" ht="15.75" thickBot="1">
      <c r="A473" s="210"/>
      <c r="B473" s="211"/>
      <c r="C473" s="212"/>
      <c r="D473" s="213"/>
      <c r="E473" s="213"/>
      <c r="F473" s="213"/>
      <c r="G473" s="213"/>
      <c r="H473" s="213"/>
      <c r="I473" s="213"/>
      <c r="J473" s="214"/>
      <c r="K473" s="214"/>
      <c r="L473" s="213"/>
      <c r="M473" s="213"/>
      <c r="N473" s="213"/>
      <c r="O473" s="214"/>
      <c r="P473" s="214"/>
      <c r="Q473" s="213"/>
      <c r="R473" s="214"/>
      <c r="S473" s="214"/>
      <c r="T473" s="214"/>
      <c r="U473" s="214"/>
      <c r="V473" s="196"/>
    </row>
    <row r="474" spans="1:22">
      <c r="A474" s="187"/>
      <c r="B474" s="168"/>
      <c r="C474" s="188"/>
      <c r="D474" s="189"/>
      <c r="E474" s="189"/>
      <c r="F474" s="189"/>
      <c r="G474" s="189"/>
      <c r="H474" s="189"/>
      <c r="I474" s="189"/>
      <c r="J474" s="190"/>
      <c r="K474" s="190"/>
      <c r="L474" s="189"/>
      <c r="M474" s="189"/>
      <c r="N474" s="189"/>
      <c r="O474" s="190"/>
      <c r="P474" s="190"/>
      <c r="Q474" s="189"/>
      <c r="R474" s="190"/>
      <c r="S474" s="190"/>
      <c r="T474" s="190"/>
      <c r="U474" s="190"/>
      <c r="V474" s="196"/>
    </row>
    <row r="475" spans="1:22">
      <c r="A475" s="191"/>
      <c r="B475" s="192"/>
      <c r="C475" s="193"/>
      <c r="D475" s="194"/>
      <c r="E475" s="194"/>
      <c r="F475" s="194"/>
      <c r="G475" s="194"/>
      <c r="H475" s="194"/>
      <c r="I475" s="194"/>
      <c r="J475" s="195"/>
      <c r="K475" s="195"/>
      <c r="L475" s="194"/>
      <c r="M475" s="194"/>
      <c r="N475" s="194"/>
      <c r="O475" s="195"/>
      <c r="P475" s="195"/>
      <c r="Q475" s="194"/>
      <c r="R475" s="195"/>
      <c r="S475" s="195"/>
      <c r="T475" s="195"/>
      <c r="U475" s="195"/>
      <c r="V475" s="196"/>
    </row>
    <row r="476" spans="1:22">
      <c r="A476" s="191"/>
      <c r="B476" s="197"/>
      <c r="C476" s="198"/>
      <c r="D476" s="199"/>
      <c r="E476" s="199"/>
      <c r="F476" s="201"/>
      <c r="G476" s="199"/>
      <c r="H476" s="199"/>
      <c r="I476" s="199"/>
      <c r="J476" s="202"/>
      <c r="K476" s="202"/>
      <c r="L476" s="199"/>
      <c r="M476" s="199"/>
      <c r="N476" s="199"/>
      <c r="O476" s="202"/>
      <c r="P476" s="202"/>
      <c r="Q476" s="199"/>
      <c r="R476" s="202"/>
      <c r="S476" s="202"/>
      <c r="T476" s="202"/>
      <c r="U476" s="202"/>
      <c r="V476" s="196"/>
    </row>
    <row r="477" spans="1:22">
      <c r="A477" s="191"/>
      <c r="B477" s="168"/>
      <c r="C477" s="188"/>
      <c r="D477" s="189"/>
      <c r="E477" s="189"/>
      <c r="F477" s="189"/>
      <c r="G477" s="189"/>
      <c r="H477" s="189"/>
      <c r="I477" s="189"/>
      <c r="J477" s="190"/>
      <c r="K477" s="190"/>
      <c r="L477" s="189"/>
      <c r="M477" s="189"/>
      <c r="N477" s="189"/>
      <c r="O477" s="190"/>
      <c r="P477" s="190"/>
      <c r="Q477" s="189"/>
      <c r="R477" s="190"/>
      <c r="S477" s="190"/>
      <c r="T477" s="190"/>
      <c r="U477" s="190"/>
      <c r="V477" s="196"/>
    </row>
    <row r="478" spans="1:22">
      <c r="A478" s="191"/>
      <c r="B478" s="192"/>
      <c r="C478" s="193"/>
      <c r="D478" s="194"/>
      <c r="E478" s="194"/>
      <c r="F478" s="194"/>
      <c r="G478" s="194"/>
      <c r="H478" s="194"/>
      <c r="I478" s="194"/>
      <c r="J478" s="195"/>
      <c r="K478" s="195"/>
      <c r="L478" s="194"/>
      <c r="M478" s="194"/>
      <c r="N478" s="194"/>
      <c r="O478" s="195"/>
      <c r="P478" s="195"/>
      <c r="Q478" s="194"/>
      <c r="R478" s="195"/>
      <c r="S478" s="195"/>
      <c r="T478" s="195"/>
      <c r="U478" s="195"/>
      <c r="V478" s="196"/>
    </row>
    <row r="479" spans="1:22">
      <c r="A479" s="191"/>
      <c r="B479" s="197"/>
      <c r="C479" s="198"/>
      <c r="D479" s="199"/>
      <c r="E479" s="199"/>
      <c r="F479" s="199"/>
      <c r="G479" s="199"/>
      <c r="H479" s="199"/>
      <c r="I479" s="199"/>
      <c r="J479" s="202"/>
      <c r="K479" s="202"/>
      <c r="L479" s="199"/>
      <c r="M479" s="199"/>
      <c r="N479" s="199"/>
      <c r="O479" s="202"/>
      <c r="P479" s="202"/>
      <c r="Q479" s="199"/>
      <c r="R479" s="202"/>
      <c r="S479" s="202"/>
      <c r="T479" s="202"/>
      <c r="U479" s="202"/>
      <c r="V479" s="196"/>
    </row>
    <row r="480" spans="1:22">
      <c r="A480" s="191"/>
      <c r="B480" s="168"/>
      <c r="C480" s="188"/>
      <c r="D480" s="189"/>
      <c r="E480" s="189"/>
      <c r="F480" s="189"/>
      <c r="G480" s="189"/>
      <c r="H480" s="189"/>
      <c r="I480" s="189"/>
      <c r="J480" s="190"/>
      <c r="K480" s="190"/>
      <c r="L480" s="189"/>
      <c r="M480" s="189"/>
      <c r="N480" s="189"/>
      <c r="O480" s="190"/>
      <c r="P480" s="190"/>
      <c r="Q480" s="189"/>
      <c r="R480" s="190"/>
      <c r="S480" s="190"/>
      <c r="T480" s="190"/>
      <c r="U480" s="190"/>
      <c r="V480" s="196"/>
    </row>
    <row r="481" spans="1:22">
      <c r="A481" s="191"/>
      <c r="B481" s="192"/>
      <c r="C481" s="193"/>
      <c r="D481" s="194"/>
      <c r="E481" s="194"/>
      <c r="F481" s="194"/>
      <c r="G481" s="194"/>
      <c r="H481" s="194"/>
      <c r="I481" s="194"/>
      <c r="J481" s="195"/>
      <c r="K481" s="195"/>
      <c r="L481" s="194"/>
      <c r="M481" s="194"/>
      <c r="N481" s="194"/>
      <c r="O481" s="195"/>
      <c r="P481" s="195"/>
      <c r="Q481" s="194"/>
      <c r="R481" s="195"/>
      <c r="S481" s="195"/>
      <c r="T481" s="195"/>
      <c r="U481" s="195"/>
      <c r="V481" s="196"/>
    </row>
    <row r="482" spans="1:22">
      <c r="A482" s="191"/>
      <c r="B482" s="197"/>
      <c r="C482" s="198"/>
      <c r="D482" s="199"/>
      <c r="E482" s="199"/>
      <c r="F482" s="199"/>
      <c r="G482" s="199"/>
      <c r="H482" s="199"/>
      <c r="I482" s="199"/>
      <c r="J482" s="202"/>
      <c r="K482" s="202"/>
      <c r="L482" s="199"/>
      <c r="M482" s="199"/>
      <c r="N482" s="199"/>
      <c r="O482" s="202"/>
      <c r="P482" s="202"/>
      <c r="Q482" s="199"/>
      <c r="R482" s="202"/>
      <c r="S482" s="202"/>
      <c r="T482" s="202"/>
      <c r="U482" s="202"/>
      <c r="V482" s="196"/>
    </row>
    <row r="483" spans="1:22">
      <c r="A483" s="191"/>
      <c r="B483" s="168"/>
      <c r="C483" s="188"/>
      <c r="D483" s="189"/>
      <c r="E483" s="189"/>
      <c r="F483" s="189"/>
      <c r="G483" s="189"/>
      <c r="H483" s="189"/>
      <c r="I483" s="189"/>
      <c r="J483" s="190"/>
      <c r="K483" s="190"/>
      <c r="L483" s="189"/>
      <c r="M483" s="189"/>
      <c r="N483" s="189"/>
      <c r="O483" s="190"/>
      <c r="P483" s="190"/>
      <c r="Q483" s="189"/>
      <c r="R483" s="190"/>
      <c r="S483" s="190"/>
      <c r="T483" s="190"/>
      <c r="U483" s="190"/>
      <c r="V483" s="196"/>
    </row>
    <row r="484" spans="1:22">
      <c r="A484" s="191"/>
      <c r="B484" s="192"/>
      <c r="C484" s="193"/>
      <c r="D484" s="194"/>
      <c r="E484" s="194"/>
      <c r="F484" s="194"/>
      <c r="G484" s="194"/>
      <c r="H484" s="194"/>
      <c r="I484" s="194"/>
      <c r="J484" s="195"/>
      <c r="K484" s="195"/>
      <c r="L484" s="194"/>
      <c r="M484" s="194"/>
      <c r="N484" s="194"/>
      <c r="O484" s="195"/>
      <c r="P484" s="195"/>
      <c r="Q484" s="194"/>
      <c r="R484" s="195"/>
      <c r="S484" s="195"/>
      <c r="T484" s="195"/>
      <c r="U484" s="195"/>
      <c r="V484" s="196"/>
    </row>
    <row r="485" spans="1:22">
      <c r="A485" s="191"/>
      <c r="B485" s="197"/>
      <c r="C485" s="198"/>
      <c r="D485" s="199"/>
      <c r="E485" s="199"/>
      <c r="F485" s="199"/>
      <c r="G485" s="199"/>
      <c r="H485" s="199"/>
      <c r="I485" s="199"/>
      <c r="J485" s="202"/>
      <c r="K485" s="202"/>
      <c r="L485" s="199"/>
      <c r="M485" s="199"/>
      <c r="N485" s="199"/>
      <c r="O485" s="202"/>
      <c r="P485" s="202"/>
      <c r="Q485" s="199"/>
      <c r="R485" s="202"/>
      <c r="S485" s="202"/>
      <c r="T485" s="202"/>
      <c r="U485" s="202"/>
      <c r="V485" s="196"/>
    </row>
    <row r="486" spans="1:22">
      <c r="A486" s="191"/>
      <c r="B486" s="168"/>
      <c r="C486" s="188"/>
      <c r="D486" s="189"/>
      <c r="E486" s="189"/>
      <c r="F486" s="189"/>
      <c r="G486" s="189"/>
      <c r="H486" s="189"/>
      <c r="I486" s="189"/>
      <c r="J486" s="190"/>
      <c r="K486" s="190"/>
      <c r="L486" s="189"/>
      <c r="M486" s="189"/>
      <c r="N486" s="189"/>
      <c r="O486" s="190"/>
      <c r="P486" s="190"/>
      <c r="Q486" s="189"/>
      <c r="R486" s="190"/>
      <c r="S486" s="190"/>
      <c r="T486" s="190"/>
      <c r="U486" s="190"/>
      <c r="V486" s="196"/>
    </row>
    <row r="487" spans="1:22">
      <c r="A487" s="191"/>
      <c r="B487" s="192"/>
      <c r="C487" s="193"/>
      <c r="D487" s="194"/>
      <c r="E487" s="194"/>
      <c r="F487" s="194"/>
      <c r="G487" s="194"/>
      <c r="H487" s="194"/>
      <c r="I487" s="194"/>
      <c r="J487" s="195"/>
      <c r="K487" s="195"/>
      <c r="L487" s="194"/>
      <c r="M487" s="194"/>
      <c r="N487" s="194"/>
      <c r="O487" s="195"/>
      <c r="P487" s="195"/>
      <c r="Q487" s="194"/>
      <c r="R487" s="195"/>
      <c r="S487" s="195"/>
      <c r="T487" s="195"/>
      <c r="U487" s="195"/>
      <c r="V487" s="196"/>
    </row>
    <row r="488" spans="1:22">
      <c r="A488" s="191"/>
      <c r="B488" s="197"/>
      <c r="C488" s="198"/>
      <c r="D488" s="199"/>
      <c r="E488" s="199"/>
      <c r="F488" s="199"/>
      <c r="G488" s="199"/>
      <c r="H488" s="199"/>
      <c r="I488" s="199"/>
      <c r="J488" s="202"/>
      <c r="K488" s="202"/>
      <c r="L488" s="199"/>
      <c r="M488" s="199"/>
      <c r="N488" s="199"/>
      <c r="O488" s="202"/>
      <c r="P488" s="202"/>
      <c r="Q488" s="199"/>
      <c r="R488" s="202"/>
      <c r="S488" s="202"/>
      <c r="T488" s="202"/>
      <c r="U488" s="202"/>
      <c r="V488" s="196"/>
    </row>
    <row r="489" spans="1:22">
      <c r="A489" s="191"/>
      <c r="B489" s="168"/>
      <c r="C489" s="188"/>
      <c r="D489" s="189"/>
      <c r="E489" s="189"/>
      <c r="F489" s="189"/>
      <c r="G489" s="189"/>
      <c r="H489" s="189"/>
      <c r="I489" s="189"/>
      <c r="J489" s="190"/>
      <c r="K489" s="190"/>
      <c r="L489" s="189"/>
      <c r="M489" s="189"/>
      <c r="N489" s="189"/>
      <c r="O489" s="190"/>
      <c r="P489" s="190"/>
      <c r="Q489" s="189"/>
      <c r="R489" s="190"/>
      <c r="S489" s="190"/>
      <c r="T489" s="190"/>
      <c r="U489" s="190"/>
      <c r="V489" s="196"/>
    </row>
    <row r="490" spans="1:22">
      <c r="A490" s="191"/>
      <c r="B490" s="192"/>
      <c r="C490" s="193"/>
      <c r="D490" s="194"/>
      <c r="E490" s="194"/>
      <c r="F490" s="194"/>
      <c r="G490" s="194"/>
      <c r="H490" s="194"/>
      <c r="I490" s="194"/>
      <c r="J490" s="195"/>
      <c r="K490" s="195"/>
      <c r="L490" s="194"/>
      <c r="M490" s="194"/>
      <c r="N490" s="194"/>
      <c r="O490" s="195"/>
      <c r="P490" s="195"/>
      <c r="Q490" s="194"/>
      <c r="R490" s="195"/>
      <c r="S490" s="195"/>
      <c r="T490" s="195"/>
      <c r="U490" s="195"/>
      <c r="V490" s="196"/>
    </row>
    <row r="491" spans="1:22" ht="15.75" thickBot="1">
      <c r="A491" s="191"/>
      <c r="B491" s="206"/>
      <c r="C491" s="207"/>
      <c r="D491" s="208"/>
      <c r="E491" s="208"/>
      <c r="F491" s="208"/>
      <c r="G491" s="208"/>
      <c r="H491" s="208"/>
      <c r="I491" s="208"/>
      <c r="J491" s="209"/>
      <c r="K491" s="209"/>
      <c r="L491" s="208"/>
      <c r="M491" s="208"/>
      <c r="N491" s="208"/>
      <c r="O491" s="209"/>
      <c r="P491" s="209"/>
      <c r="Q491" s="208"/>
      <c r="R491" s="209"/>
      <c r="S491" s="209"/>
      <c r="T491" s="209"/>
      <c r="U491" s="209"/>
      <c r="V491" s="196"/>
    </row>
    <row r="492" spans="1:22" ht="15.75" thickTop="1">
      <c r="A492" s="191"/>
      <c r="B492" s="192"/>
      <c r="C492" s="193"/>
      <c r="D492" s="194"/>
      <c r="E492" s="194"/>
      <c r="F492" s="194"/>
      <c r="G492" s="194"/>
      <c r="H492" s="194"/>
      <c r="I492" s="194"/>
      <c r="J492" s="195"/>
      <c r="K492" s="195"/>
      <c r="L492" s="194"/>
      <c r="M492" s="194"/>
      <c r="N492" s="194"/>
      <c r="O492" s="195"/>
      <c r="P492" s="195"/>
      <c r="Q492" s="194"/>
      <c r="R492" s="195"/>
      <c r="S492" s="195"/>
      <c r="T492" s="195"/>
      <c r="U492" s="195"/>
      <c r="V492" s="196"/>
    </row>
    <row r="493" spans="1:22">
      <c r="A493" s="191"/>
      <c r="B493" s="192"/>
      <c r="C493" s="193"/>
      <c r="D493" s="194"/>
      <c r="E493" s="194"/>
      <c r="F493" s="194"/>
      <c r="G493" s="194"/>
      <c r="H493" s="194"/>
      <c r="I493" s="194"/>
      <c r="J493" s="195"/>
      <c r="K493" s="195"/>
      <c r="L493" s="194"/>
      <c r="M493" s="194"/>
      <c r="N493" s="194"/>
      <c r="O493" s="195"/>
      <c r="P493" s="195"/>
      <c r="Q493" s="194"/>
      <c r="R493" s="195"/>
      <c r="S493" s="195"/>
      <c r="T493" s="195"/>
      <c r="U493" s="195"/>
      <c r="V493" s="196"/>
    </row>
    <row r="494" spans="1:22">
      <c r="A494" s="191"/>
      <c r="B494" s="197"/>
      <c r="C494" s="198"/>
      <c r="D494" s="199"/>
      <c r="E494" s="199"/>
      <c r="F494" s="201"/>
      <c r="G494" s="201"/>
      <c r="H494" s="201"/>
      <c r="I494" s="199"/>
      <c r="J494" s="202"/>
      <c r="K494" s="202"/>
      <c r="L494" s="199"/>
      <c r="M494" s="199"/>
      <c r="N494" s="199"/>
      <c r="O494" s="202"/>
      <c r="P494" s="202"/>
      <c r="Q494" s="199"/>
      <c r="R494" s="202"/>
      <c r="S494" s="202"/>
      <c r="T494" s="202"/>
      <c r="U494" s="202"/>
      <c r="V494" s="196"/>
    </row>
    <row r="495" spans="1:22">
      <c r="A495" s="191"/>
      <c r="B495" s="168"/>
      <c r="C495" s="188"/>
      <c r="D495" s="189"/>
      <c r="E495" s="189"/>
      <c r="F495" s="189"/>
      <c r="G495" s="189"/>
      <c r="H495" s="189"/>
      <c r="I495" s="189"/>
      <c r="J495" s="190"/>
      <c r="K495" s="190"/>
      <c r="L495" s="189"/>
      <c r="M495" s="189"/>
      <c r="N495" s="189"/>
      <c r="O495" s="190"/>
      <c r="P495" s="190"/>
      <c r="Q495" s="189"/>
      <c r="R495" s="190"/>
      <c r="S495" s="190"/>
      <c r="T495" s="190"/>
      <c r="U495" s="190"/>
      <c r="V495" s="196"/>
    </row>
    <row r="496" spans="1:22">
      <c r="A496" s="191"/>
      <c r="B496" s="192"/>
      <c r="C496" s="193"/>
      <c r="D496" s="194"/>
      <c r="E496" s="194"/>
      <c r="F496" s="194"/>
      <c r="G496" s="194"/>
      <c r="H496" s="194"/>
      <c r="I496" s="194"/>
      <c r="J496" s="195"/>
      <c r="K496" s="195"/>
      <c r="L496" s="194"/>
      <c r="M496" s="194"/>
      <c r="N496" s="194"/>
      <c r="O496" s="195"/>
      <c r="P496" s="195"/>
      <c r="Q496" s="194"/>
      <c r="R496" s="195"/>
      <c r="S496" s="195"/>
      <c r="T496" s="195"/>
      <c r="U496" s="195"/>
      <c r="V496" s="196"/>
    </row>
    <row r="497" spans="1:22">
      <c r="A497" s="191"/>
      <c r="B497" s="197"/>
      <c r="C497" s="198"/>
      <c r="D497" s="199"/>
      <c r="E497" s="201"/>
      <c r="F497" s="201"/>
      <c r="G497" s="199"/>
      <c r="H497" s="199"/>
      <c r="I497" s="199"/>
      <c r="J497" s="202"/>
      <c r="K497" s="202"/>
      <c r="L497" s="199"/>
      <c r="M497" s="199"/>
      <c r="N497" s="199"/>
      <c r="O497" s="202"/>
      <c r="P497" s="202"/>
      <c r="Q497" s="199"/>
      <c r="R497" s="202"/>
      <c r="S497" s="202"/>
      <c r="T497" s="202"/>
      <c r="U497" s="202"/>
      <c r="V497" s="196"/>
    </row>
    <row r="498" spans="1:22">
      <c r="A498" s="191"/>
      <c r="B498" s="168"/>
      <c r="C498" s="188"/>
      <c r="D498" s="189"/>
      <c r="E498" s="189"/>
      <c r="F498" s="189"/>
      <c r="G498" s="189"/>
      <c r="H498" s="189"/>
      <c r="I498" s="189"/>
      <c r="J498" s="190"/>
      <c r="K498" s="190"/>
      <c r="L498" s="189"/>
      <c r="M498" s="189"/>
      <c r="N498" s="189"/>
      <c r="O498" s="190"/>
      <c r="P498" s="190"/>
      <c r="Q498" s="189"/>
      <c r="R498" s="190"/>
      <c r="S498" s="190"/>
      <c r="T498" s="190"/>
      <c r="U498" s="190"/>
      <c r="V498" s="196"/>
    </row>
    <row r="499" spans="1:22">
      <c r="A499" s="191"/>
      <c r="B499" s="192"/>
      <c r="C499" s="193"/>
      <c r="D499" s="194"/>
      <c r="E499" s="194"/>
      <c r="F499" s="194"/>
      <c r="G499" s="194"/>
      <c r="H499" s="194"/>
      <c r="I499" s="194"/>
      <c r="J499" s="195"/>
      <c r="K499" s="195"/>
      <c r="L499" s="194"/>
      <c r="M499" s="194"/>
      <c r="N499" s="194"/>
      <c r="O499" s="195"/>
      <c r="P499" s="195"/>
      <c r="Q499" s="194"/>
      <c r="R499" s="195"/>
      <c r="S499" s="195"/>
      <c r="T499" s="195"/>
      <c r="U499" s="195"/>
      <c r="V499" s="196"/>
    </row>
    <row r="500" spans="1:22">
      <c r="A500" s="191"/>
      <c r="B500" s="197"/>
      <c r="C500" s="198"/>
      <c r="D500" s="199"/>
      <c r="E500" s="201"/>
      <c r="F500" s="199"/>
      <c r="G500" s="201"/>
      <c r="H500" s="201"/>
      <c r="I500" s="199"/>
      <c r="J500" s="202"/>
      <c r="K500" s="202"/>
      <c r="L500" s="199"/>
      <c r="M500" s="199"/>
      <c r="N500" s="199"/>
      <c r="O500" s="202"/>
      <c r="P500" s="202"/>
      <c r="Q500" s="199"/>
      <c r="R500" s="202"/>
      <c r="S500" s="202"/>
      <c r="T500" s="202"/>
      <c r="U500" s="202"/>
      <c r="V500" s="196"/>
    </row>
    <row r="501" spans="1:22">
      <c r="A501" s="191"/>
      <c r="B501" s="168"/>
      <c r="C501" s="188"/>
      <c r="D501" s="189"/>
      <c r="E501" s="189"/>
      <c r="F501" s="189"/>
      <c r="G501" s="189"/>
      <c r="H501" s="189"/>
      <c r="I501" s="189"/>
      <c r="J501" s="190"/>
      <c r="K501" s="190"/>
      <c r="L501" s="189"/>
      <c r="M501" s="189"/>
      <c r="N501" s="189"/>
      <c r="O501" s="190"/>
      <c r="P501" s="190"/>
      <c r="Q501" s="189"/>
      <c r="R501" s="190"/>
      <c r="S501" s="190"/>
      <c r="T501" s="190"/>
      <c r="U501" s="190"/>
      <c r="V501" s="196"/>
    </row>
    <row r="502" spans="1:22">
      <c r="A502" s="191"/>
      <c r="B502" s="192"/>
      <c r="C502" s="193"/>
      <c r="D502" s="194"/>
      <c r="E502" s="194"/>
      <c r="F502" s="194"/>
      <c r="G502" s="194"/>
      <c r="H502" s="203"/>
      <c r="I502" s="194"/>
      <c r="J502" s="195"/>
      <c r="K502" s="195"/>
      <c r="L502" s="194"/>
      <c r="M502" s="194"/>
      <c r="N502" s="194"/>
      <c r="O502" s="195"/>
      <c r="P502" s="195"/>
      <c r="Q502" s="194"/>
      <c r="R502" s="195"/>
      <c r="S502" s="195"/>
      <c r="T502" s="195"/>
      <c r="U502" s="195"/>
      <c r="V502" s="196"/>
    </row>
    <row r="503" spans="1:22">
      <c r="A503" s="191"/>
      <c r="B503" s="197"/>
      <c r="C503" s="198"/>
      <c r="D503" s="199"/>
      <c r="E503" s="199"/>
      <c r="F503" s="199"/>
      <c r="G503" s="199"/>
      <c r="H503" s="201"/>
      <c r="I503" s="199"/>
      <c r="J503" s="202"/>
      <c r="K503" s="202"/>
      <c r="L503" s="199"/>
      <c r="M503" s="199"/>
      <c r="N503" s="199"/>
      <c r="O503" s="202"/>
      <c r="P503" s="202"/>
      <c r="Q503" s="199"/>
      <c r="R503" s="202"/>
      <c r="S503" s="202"/>
      <c r="T503" s="202"/>
      <c r="U503" s="202"/>
      <c r="V503" s="196"/>
    </row>
    <row r="504" spans="1:22">
      <c r="A504" s="191"/>
      <c r="B504" s="168"/>
      <c r="C504" s="188"/>
      <c r="D504" s="189"/>
      <c r="E504" s="189"/>
      <c r="F504" s="189"/>
      <c r="G504" s="189"/>
      <c r="H504" s="189"/>
      <c r="I504" s="189"/>
      <c r="J504" s="190"/>
      <c r="K504" s="190"/>
      <c r="L504" s="189"/>
      <c r="M504" s="189"/>
      <c r="N504" s="189"/>
      <c r="O504" s="190"/>
      <c r="P504" s="190"/>
      <c r="Q504" s="189"/>
      <c r="R504" s="190"/>
      <c r="S504" s="190"/>
      <c r="T504" s="190"/>
      <c r="U504" s="190"/>
      <c r="V504" s="196"/>
    </row>
    <row r="505" spans="1:22">
      <c r="A505" s="191"/>
      <c r="B505" s="192"/>
      <c r="C505" s="193"/>
      <c r="D505" s="194"/>
      <c r="E505" s="194"/>
      <c r="F505" s="194"/>
      <c r="G505" s="194"/>
      <c r="H505" s="194"/>
      <c r="I505" s="194"/>
      <c r="J505" s="195"/>
      <c r="K505" s="195"/>
      <c r="L505" s="194"/>
      <c r="M505" s="194"/>
      <c r="N505" s="194"/>
      <c r="O505" s="195"/>
      <c r="P505" s="195"/>
      <c r="Q505" s="194"/>
      <c r="R505" s="195"/>
      <c r="S505" s="195"/>
      <c r="T505" s="195"/>
      <c r="U505" s="195"/>
      <c r="V505" s="196"/>
    </row>
    <row r="506" spans="1:22">
      <c r="A506" s="191"/>
      <c r="B506" s="197"/>
      <c r="C506" s="198"/>
      <c r="D506" s="199"/>
      <c r="E506" s="199"/>
      <c r="F506" s="199"/>
      <c r="G506" s="199"/>
      <c r="H506" s="199"/>
      <c r="I506" s="199"/>
      <c r="J506" s="202"/>
      <c r="K506" s="202"/>
      <c r="L506" s="199"/>
      <c r="M506" s="199"/>
      <c r="N506" s="199"/>
      <c r="O506" s="202"/>
      <c r="P506" s="202"/>
      <c r="Q506" s="199"/>
      <c r="R506" s="202"/>
      <c r="S506" s="202"/>
      <c r="T506" s="202"/>
      <c r="U506" s="202"/>
      <c r="V506" s="196"/>
    </row>
    <row r="507" spans="1:22">
      <c r="A507" s="191"/>
      <c r="B507" s="168"/>
      <c r="C507" s="188"/>
      <c r="D507" s="189"/>
      <c r="E507" s="189"/>
      <c r="F507" s="189"/>
      <c r="G507" s="189"/>
      <c r="H507" s="189"/>
      <c r="I507" s="189"/>
      <c r="J507" s="190"/>
      <c r="K507" s="190"/>
      <c r="L507" s="189"/>
      <c r="M507" s="189"/>
      <c r="N507" s="189"/>
      <c r="O507" s="190"/>
      <c r="P507" s="190"/>
      <c r="Q507" s="189"/>
      <c r="R507" s="190"/>
      <c r="S507" s="190"/>
      <c r="T507" s="190"/>
      <c r="U507" s="190"/>
      <c r="V507" s="196"/>
    </row>
    <row r="508" spans="1:22">
      <c r="A508" s="191"/>
      <c r="B508" s="192"/>
      <c r="C508" s="193"/>
      <c r="D508" s="194"/>
      <c r="E508" s="194"/>
      <c r="F508" s="194"/>
      <c r="G508" s="194"/>
      <c r="H508" s="194"/>
      <c r="I508" s="194"/>
      <c r="J508" s="195"/>
      <c r="K508" s="195"/>
      <c r="L508" s="194"/>
      <c r="M508" s="194"/>
      <c r="N508" s="194"/>
      <c r="O508" s="195"/>
      <c r="P508" s="195"/>
      <c r="Q508" s="194"/>
      <c r="R508" s="195"/>
      <c r="S508" s="195"/>
      <c r="T508" s="195"/>
      <c r="U508" s="195"/>
      <c r="V508" s="196"/>
    </row>
    <row r="509" spans="1:22" ht="15.75" thickBot="1">
      <c r="A509" s="210"/>
      <c r="B509" s="211"/>
      <c r="C509" s="212"/>
      <c r="D509" s="213"/>
      <c r="E509" s="213"/>
      <c r="F509" s="213"/>
      <c r="G509" s="213"/>
      <c r="H509" s="213"/>
      <c r="I509" s="213"/>
      <c r="J509" s="214"/>
      <c r="K509" s="214"/>
      <c r="L509" s="213"/>
      <c r="M509" s="213"/>
      <c r="N509" s="213"/>
      <c r="O509" s="214"/>
      <c r="P509" s="214"/>
      <c r="Q509" s="213"/>
      <c r="R509" s="214"/>
      <c r="S509" s="214"/>
      <c r="T509" s="214"/>
      <c r="U509" s="214"/>
      <c r="V509" s="196"/>
    </row>
    <row r="510" spans="1:22">
      <c r="A510" s="187"/>
      <c r="B510" s="168"/>
      <c r="C510" s="188"/>
      <c r="D510" s="189"/>
      <c r="E510" s="189"/>
      <c r="F510" s="189"/>
      <c r="G510" s="189"/>
      <c r="H510" s="189"/>
      <c r="I510" s="189"/>
      <c r="J510" s="190"/>
      <c r="K510" s="190"/>
      <c r="L510" s="189"/>
      <c r="M510" s="189"/>
      <c r="N510" s="189"/>
      <c r="O510" s="190"/>
      <c r="P510" s="190"/>
      <c r="Q510" s="189"/>
      <c r="R510" s="190"/>
      <c r="S510" s="190"/>
      <c r="T510" s="190"/>
      <c r="U510" s="190"/>
      <c r="V510" s="196"/>
    </row>
    <row r="511" spans="1:22">
      <c r="A511" s="191"/>
      <c r="B511" s="192"/>
      <c r="C511" s="193"/>
      <c r="D511" s="194"/>
      <c r="E511" s="194"/>
      <c r="F511" s="194"/>
      <c r="G511" s="194"/>
      <c r="H511" s="194"/>
      <c r="I511" s="194"/>
      <c r="J511" s="195"/>
      <c r="K511" s="195"/>
      <c r="L511" s="194"/>
      <c r="M511" s="194"/>
      <c r="N511" s="194"/>
      <c r="O511" s="195"/>
      <c r="P511" s="195"/>
      <c r="Q511" s="194"/>
      <c r="R511" s="195"/>
      <c r="S511" s="195"/>
      <c r="T511" s="195"/>
      <c r="U511" s="195"/>
      <c r="V511" s="196"/>
    </row>
    <row r="512" spans="1:22">
      <c r="A512" s="191"/>
      <c r="B512" s="197"/>
      <c r="C512" s="198"/>
      <c r="D512" s="199"/>
      <c r="E512" s="199"/>
      <c r="F512" s="199"/>
      <c r="G512" s="199"/>
      <c r="H512" s="199"/>
      <c r="I512" s="199"/>
      <c r="J512" s="202"/>
      <c r="K512" s="202"/>
      <c r="L512" s="199"/>
      <c r="M512" s="199"/>
      <c r="N512" s="199"/>
      <c r="O512" s="202"/>
      <c r="P512" s="202"/>
      <c r="Q512" s="199"/>
      <c r="R512" s="202"/>
      <c r="S512" s="202"/>
      <c r="T512" s="202"/>
      <c r="U512" s="202"/>
      <c r="V512" s="196"/>
    </row>
    <row r="513" spans="1:22">
      <c r="A513" s="191"/>
      <c r="B513" s="168"/>
      <c r="C513" s="188"/>
      <c r="D513" s="189"/>
      <c r="E513" s="189"/>
      <c r="F513" s="189"/>
      <c r="G513" s="189"/>
      <c r="H513" s="189"/>
      <c r="I513" s="189"/>
      <c r="J513" s="190"/>
      <c r="K513" s="190"/>
      <c r="L513" s="189"/>
      <c r="M513" s="189"/>
      <c r="N513" s="189"/>
      <c r="O513" s="190"/>
      <c r="P513" s="190"/>
      <c r="Q513" s="189"/>
      <c r="R513" s="190"/>
      <c r="S513" s="190"/>
      <c r="T513" s="190"/>
      <c r="U513" s="190"/>
      <c r="V513" s="196"/>
    </row>
    <row r="514" spans="1:22">
      <c r="A514" s="191"/>
      <c r="B514" s="192"/>
      <c r="C514" s="193"/>
      <c r="D514" s="194"/>
      <c r="E514" s="194"/>
      <c r="F514" s="194"/>
      <c r="G514" s="194"/>
      <c r="H514" s="194"/>
      <c r="I514" s="194"/>
      <c r="J514" s="195"/>
      <c r="K514" s="195"/>
      <c r="L514" s="194"/>
      <c r="M514" s="194"/>
      <c r="N514" s="194"/>
      <c r="O514" s="195"/>
      <c r="P514" s="195"/>
      <c r="Q514" s="194"/>
      <c r="R514" s="195"/>
      <c r="S514" s="195"/>
      <c r="T514" s="195"/>
      <c r="U514" s="195"/>
      <c r="V514" s="196"/>
    </row>
    <row r="515" spans="1:22">
      <c r="A515" s="191"/>
      <c r="B515" s="197"/>
      <c r="C515" s="198"/>
      <c r="D515" s="199"/>
      <c r="E515" s="199"/>
      <c r="F515" s="199"/>
      <c r="G515" s="199"/>
      <c r="H515" s="199"/>
      <c r="I515" s="199"/>
      <c r="J515" s="202"/>
      <c r="K515" s="202"/>
      <c r="L515" s="199"/>
      <c r="M515" s="199"/>
      <c r="N515" s="199"/>
      <c r="O515" s="202"/>
      <c r="P515" s="202"/>
      <c r="Q515" s="199"/>
      <c r="R515" s="202"/>
      <c r="S515" s="202"/>
      <c r="T515" s="202"/>
      <c r="U515" s="202"/>
      <c r="V515" s="196"/>
    </row>
    <row r="516" spans="1:22">
      <c r="A516" s="191"/>
      <c r="B516" s="168"/>
      <c r="C516" s="188"/>
      <c r="D516" s="189"/>
      <c r="E516" s="189"/>
      <c r="F516" s="189"/>
      <c r="G516" s="189"/>
      <c r="H516" s="189"/>
      <c r="I516" s="189"/>
      <c r="J516" s="190"/>
      <c r="K516" s="190"/>
      <c r="L516" s="189"/>
      <c r="M516" s="189"/>
      <c r="N516" s="189"/>
      <c r="O516" s="190"/>
      <c r="P516" s="190"/>
      <c r="Q516" s="189"/>
      <c r="R516" s="190"/>
      <c r="S516" s="190"/>
      <c r="T516" s="190"/>
      <c r="U516" s="190"/>
      <c r="V516" s="196"/>
    </row>
    <row r="517" spans="1:22">
      <c r="A517" s="191"/>
      <c r="B517" s="192"/>
      <c r="C517" s="193"/>
      <c r="D517" s="194"/>
      <c r="E517" s="194"/>
      <c r="F517" s="194"/>
      <c r="G517" s="194"/>
      <c r="H517" s="194"/>
      <c r="I517" s="194"/>
      <c r="J517" s="195"/>
      <c r="K517" s="195"/>
      <c r="L517" s="194"/>
      <c r="M517" s="194"/>
      <c r="N517" s="194"/>
      <c r="O517" s="195"/>
      <c r="P517" s="195"/>
      <c r="Q517" s="194"/>
      <c r="R517" s="195"/>
      <c r="S517" s="195"/>
      <c r="T517" s="195"/>
      <c r="U517" s="195"/>
      <c r="V517" s="196"/>
    </row>
    <row r="518" spans="1:22">
      <c r="A518" s="191"/>
      <c r="B518" s="197"/>
      <c r="C518" s="198"/>
      <c r="D518" s="199"/>
      <c r="E518" s="199"/>
      <c r="F518" s="199"/>
      <c r="G518" s="199"/>
      <c r="H518" s="199"/>
      <c r="I518" s="199"/>
      <c r="J518" s="202"/>
      <c r="K518" s="202"/>
      <c r="L518" s="199"/>
      <c r="M518" s="199"/>
      <c r="N518" s="199"/>
      <c r="O518" s="202"/>
      <c r="P518" s="202"/>
      <c r="Q518" s="199"/>
      <c r="R518" s="202"/>
      <c r="S518" s="202"/>
      <c r="T518" s="202"/>
      <c r="U518" s="202"/>
      <c r="V518" s="196"/>
    </row>
    <row r="519" spans="1:22">
      <c r="A519" s="191"/>
      <c r="B519" s="168"/>
      <c r="C519" s="188"/>
      <c r="D519" s="189"/>
      <c r="E519" s="189"/>
      <c r="F519" s="189"/>
      <c r="G519" s="189"/>
      <c r="H519" s="189"/>
      <c r="I519" s="189"/>
      <c r="J519" s="190"/>
      <c r="K519" s="190"/>
      <c r="L519" s="189"/>
      <c r="M519" s="189"/>
      <c r="N519" s="189"/>
      <c r="O519" s="190"/>
      <c r="P519" s="190"/>
      <c r="Q519" s="189"/>
      <c r="R519" s="190"/>
      <c r="S519" s="190"/>
      <c r="T519" s="190"/>
      <c r="U519" s="190"/>
      <c r="V519" s="196"/>
    </row>
    <row r="520" spans="1:22">
      <c r="A520" s="191"/>
      <c r="B520" s="192"/>
      <c r="C520" s="193"/>
      <c r="D520" s="194"/>
      <c r="E520" s="194"/>
      <c r="F520" s="194"/>
      <c r="G520" s="194"/>
      <c r="H520" s="194"/>
      <c r="I520" s="194"/>
      <c r="J520" s="195"/>
      <c r="K520" s="195"/>
      <c r="L520" s="194"/>
      <c r="M520" s="194"/>
      <c r="N520" s="194"/>
      <c r="O520" s="195"/>
      <c r="P520" s="195"/>
      <c r="Q520" s="194"/>
      <c r="R520" s="195"/>
      <c r="S520" s="195"/>
      <c r="T520" s="195"/>
      <c r="U520" s="195"/>
      <c r="V520" s="196"/>
    </row>
    <row r="521" spans="1:22">
      <c r="A521" s="191"/>
      <c r="B521" s="197"/>
      <c r="C521" s="198"/>
      <c r="D521" s="199"/>
      <c r="E521" s="199"/>
      <c r="F521" s="199"/>
      <c r="G521" s="199"/>
      <c r="H521" s="199"/>
      <c r="I521" s="199"/>
      <c r="J521" s="202"/>
      <c r="K521" s="202"/>
      <c r="L521" s="199"/>
      <c r="M521" s="199"/>
      <c r="N521" s="199"/>
      <c r="O521" s="202"/>
      <c r="P521" s="202"/>
      <c r="Q521" s="199"/>
      <c r="R521" s="202"/>
      <c r="S521" s="202"/>
      <c r="T521" s="202"/>
      <c r="U521" s="202"/>
      <c r="V521" s="196"/>
    </row>
    <row r="522" spans="1:22">
      <c r="A522" s="191"/>
      <c r="B522" s="168"/>
      <c r="C522" s="188"/>
      <c r="D522" s="189"/>
      <c r="E522" s="189"/>
      <c r="F522" s="189"/>
      <c r="G522" s="189"/>
      <c r="H522" s="189"/>
      <c r="I522" s="189"/>
      <c r="J522" s="190"/>
      <c r="K522" s="190"/>
      <c r="L522" s="189"/>
      <c r="M522" s="189"/>
      <c r="N522" s="189"/>
      <c r="O522" s="190"/>
      <c r="P522" s="190"/>
      <c r="Q522" s="189"/>
      <c r="R522" s="190"/>
      <c r="S522" s="190"/>
      <c r="T522" s="190"/>
      <c r="U522" s="190"/>
      <c r="V522" s="196"/>
    </row>
    <row r="523" spans="1:22">
      <c r="A523" s="191"/>
      <c r="B523" s="192"/>
      <c r="C523" s="193"/>
      <c r="D523" s="194"/>
      <c r="E523" s="194"/>
      <c r="F523" s="194"/>
      <c r="G523" s="194"/>
      <c r="H523" s="194"/>
      <c r="I523" s="194"/>
      <c r="J523" s="195"/>
      <c r="K523" s="195"/>
      <c r="L523" s="194"/>
      <c r="M523" s="194"/>
      <c r="N523" s="194"/>
      <c r="O523" s="195"/>
      <c r="P523" s="195"/>
      <c r="Q523" s="194"/>
      <c r="R523" s="195"/>
      <c r="S523" s="195"/>
      <c r="T523" s="195"/>
      <c r="U523" s="195"/>
      <c r="V523" s="196"/>
    </row>
    <row r="524" spans="1:22">
      <c r="A524" s="191"/>
      <c r="B524" s="197"/>
      <c r="C524" s="198"/>
      <c r="D524" s="199"/>
      <c r="E524" s="199"/>
      <c r="F524" s="199"/>
      <c r="G524" s="199"/>
      <c r="H524" s="199"/>
      <c r="I524" s="199"/>
      <c r="J524" s="202"/>
      <c r="K524" s="202"/>
      <c r="L524" s="199"/>
      <c r="M524" s="199"/>
      <c r="N524" s="199"/>
      <c r="O524" s="202"/>
      <c r="P524" s="202"/>
      <c r="Q524" s="199"/>
      <c r="R524" s="202"/>
      <c r="S524" s="202"/>
      <c r="T524" s="202"/>
      <c r="U524" s="202"/>
      <c r="V524" s="196"/>
    </row>
    <row r="525" spans="1:22">
      <c r="A525" s="191"/>
      <c r="B525" s="168"/>
      <c r="C525" s="188"/>
      <c r="D525" s="189"/>
      <c r="E525" s="189"/>
      <c r="F525" s="189"/>
      <c r="G525" s="189"/>
      <c r="H525" s="189"/>
      <c r="I525" s="189"/>
      <c r="J525" s="190"/>
      <c r="K525" s="190"/>
      <c r="L525" s="189"/>
      <c r="M525" s="189"/>
      <c r="N525" s="189"/>
      <c r="O525" s="190"/>
      <c r="P525" s="190"/>
      <c r="Q525" s="189"/>
      <c r="R525" s="190"/>
      <c r="S525" s="190"/>
      <c r="T525" s="190"/>
      <c r="U525" s="190"/>
      <c r="V525" s="196"/>
    </row>
    <row r="526" spans="1:22">
      <c r="A526" s="191"/>
      <c r="B526" s="192"/>
      <c r="C526" s="193"/>
      <c r="D526" s="194"/>
      <c r="E526" s="194"/>
      <c r="F526" s="194"/>
      <c r="G526" s="194"/>
      <c r="H526" s="194"/>
      <c r="I526" s="194"/>
      <c r="J526" s="195"/>
      <c r="K526" s="195"/>
      <c r="L526" s="194"/>
      <c r="M526" s="194"/>
      <c r="N526" s="194"/>
      <c r="O526" s="195"/>
      <c r="P526" s="195"/>
      <c r="Q526" s="194"/>
      <c r="R526" s="195"/>
      <c r="S526" s="195"/>
      <c r="T526" s="195"/>
      <c r="U526" s="195"/>
      <c r="V526" s="196"/>
    </row>
    <row r="527" spans="1:22" ht="15.75" thickBot="1">
      <c r="A527" s="191"/>
      <c r="B527" s="206"/>
      <c r="C527" s="207"/>
      <c r="D527" s="208"/>
      <c r="E527" s="208"/>
      <c r="F527" s="208"/>
      <c r="G527" s="208"/>
      <c r="H527" s="208"/>
      <c r="I527" s="208"/>
      <c r="J527" s="209"/>
      <c r="K527" s="209"/>
      <c r="L527" s="208"/>
      <c r="M527" s="208"/>
      <c r="N527" s="208"/>
      <c r="O527" s="209"/>
      <c r="P527" s="209"/>
      <c r="Q527" s="208"/>
      <c r="R527" s="209"/>
      <c r="S527" s="209"/>
      <c r="T527" s="209"/>
      <c r="U527" s="209"/>
      <c r="V527" s="196"/>
    </row>
    <row r="528" spans="1:22" ht="15.75" thickTop="1">
      <c r="A528" s="191"/>
      <c r="B528" s="192"/>
      <c r="C528" s="193"/>
      <c r="D528" s="194"/>
      <c r="E528" s="194"/>
      <c r="F528" s="194"/>
      <c r="G528" s="194"/>
      <c r="H528" s="194"/>
      <c r="I528" s="194"/>
      <c r="J528" s="195"/>
      <c r="K528" s="195"/>
      <c r="L528" s="194"/>
      <c r="M528" s="194"/>
      <c r="N528" s="194"/>
      <c r="O528" s="195"/>
      <c r="P528" s="195"/>
      <c r="Q528" s="194"/>
      <c r="R528" s="195"/>
      <c r="S528" s="195"/>
      <c r="T528" s="195"/>
      <c r="U528" s="195"/>
      <c r="V528" s="196"/>
    </row>
    <row r="529" spans="1:22">
      <c r="A529" s="191"/>
      <c r="B529" s="192"/>
      <c r="C529" s="193"/>
      <c r="D529" s="194"/>
      <c r="E529" s="194"/>
      <c r="F529" s="194"/>
      <c r="G529" s="194"/>
      <c r="H529" s="194"/>
      <c r="I529" s="194"/>
      <c r="J529" s="195"/>
      <c r="K529" s="195"/>
      <c r="L529" s="194"/>
      <c r="M529" s="194"/>
      <c r="N529" s="194"/>
      <c r="O529" s="195"/>
      <c r="P529" s="195"/>
      <c r="Q529" s="194"/>
      <c r="R529" s="195"/>
      <c r="S529" s="195"/>
      <c r="T529" s="195"/>
      <c r="U529" s="195"/>
      <c r="V529" s="196"/>
    </row>
    <row r="530" spans="1:22">
      <c r="A530" s="191"/>
      <c r="B530" s="197"/>
      <c r="C530" s="198"/>
      <c r="D530" s="199"/>
      <c r="E530" s="199"/>
      <c r="F530" s="199"/>
      <c r="G530" s="199"/>
      <c r="H530" s="199"/>
      <c r="I530" s="199"/>
      <c r="J530" s="202"/>
      <c r="K530" s="202"/>
      <c r="L530" s="199"/>
      <c r="M530" s="199"/>
      <c r="N530" s="199"/>
      <c r="O530" s="202"/>
      <c r="P530" s="202"/>
      <c r="Q530" s="199"/>
      <c r="R530" s="202"/>
      <c r="S530" s="202"/>
      <c r="T530" s="202"/>
      <c r="U530" s="202"/>
      <c r="V530" s="196"/>
    </row>
    <row r="531" spans="1:22">
      <c r="A531" s="191"/>
      <c r="B531" s="168"/>
      <c r="C531" s="188"/>
      <c r="D531" s="189"/>
      <c r="E531" s="189"/>
      <c r="F531" s="189"/>
      <c r="G531" s="189"/>
      <c r="H531" s="189"/>
      <c r="I531" s="189"/>
      <c r="J531" s="190"/>
      <c r="K531" s="190"/>
      <c r="L531" s="189"/>
      <c r="M531" s="189"/>
      <c r="N531" s="189"/>
      <c r="O531" s="190"/>
      <c r="P531" s="190"/>
      <c r="Q531" s="189"/>
      <c r="R531" s="190"/>
      <c r="S531" s="190"/>
      <c r="T531" s="190"/>
      <c r="U531" s="190"/>
      <c r="V531" s="196"/>
    </row>
    <row r="532" spans="1:22">
      <c r="A532" s="191"/>
      <c r="B532" s="192"/>
      <c r="C532" s="193"/>
      <c r="D532" s="194"/>
      <c r="E532" s="194"/>
      <c r="F532" s="194"/>
      <c r="G532" s="194"/>
      <c r="H532" s="194"/>
      <c r="I532" s="194"/>
      <c r="J532" s="195"/>
      <c r="K532" s="195"/>
      <c r="L532" s="194"/>
      <c r="M532" s="194"/>
      <c r="N532" s="194"/>
      <c r="O532" s="195"/>
      <c r="P532" s="195"/>
      <c r="Q532" s="194"/>
      <c r="R532" s="195"/>
      <c r="S532" s="195"/>
      <c r="T532" s="195"/>
      <c r="U532" s="195"/>
      <c r="V532" s="196"/>
    </row>
    <row r="533" spans="1:22">
      <c r="A533" s="191"/>
      <c r="B533" s="197"/>
      <c r="C533" s="198"/>
      <c r="D533" s="199"/>
      <c r="E533" s="199"/>
      <c r="F533" s="199"/>
      <c r="G533" s="199"/>
      <c r="H533" s="199"/>
      <c r="I533" s="199"/>
      <c r="J533" s="202"/>
      <c r="K533" s="202"/>
      <c r="L533" s="199"/>
      <c r="M533" s="199"/>
      <c r="N533" s="199"/>
      <c r="O533" s="202"/>
      <c r="P533" s="202"/>
      <c r="Q533" s="199"/>
      <c r="R533" s="202"/>
      <c r="S533" s="202"/>
      <c r="T533" s="202"/>
      <c r="U533" s="202"/>
      <c r="V533" s="196"/>
    </row>
    <row r="534" spans="1:22">
      <c r="A534" s="191"/>
      <c r="B534" s="168"/>
      <c r="C534" s="188"/>
      <c r="D534" s="189"/>
      <c r="E534" s="189"/>
      <c r="F534" s="189"/>
      <c r="G534" s="189"/>
      <c r="H534" s="189"/>
      <c r="I534" s="189"/>
      <c r="J534" s="190"/>
      <c r="K534" s="190"/>
      <c r="L534" s="189"/>
      <c r="M534" s="189"/>
      <c r="N534" s="189"/>
      <c r="O534" s="190"/>
      <c r="P534" s="190"/>
      <c r="Q534" s="189"/>
      <c r="R534" s="190"/>
      <c r="S534" s="190"/>
      <c r="T534" s="190"/>
      <c r="U534" s="190"/>
      <c r="V534" s="196"/>
    </row>
    <row r="535" spans="1:22">
      <c r="A535" s="191"/>
      <c r="B535" s="192"/>
      <c r="C535" s="193"/>
      <c r="D535" s="203"/>
      <c r="E535" s="194"/>
      <c r="F535" s="194"/>
      <c r="G535" s="194"/>
      <c r="H535" s="194"/>
      <c r="I535" s="194"/>
      <c r="J535" s="195"/>
      <c r="K535" s="195"/>
      <c r="L535" s="194"/>
      <c r="M535" s="194"/>
      <c r="N535" s="194"/>
      <c r="O535" s="195"/>
      <c r="P535" s="195"/>
      <c r="Q535" s="194"/>
      <c r="R535" s="195"/>
      <c r="S535" s="195"/>
      <c r="T535" s="195"/>
      <c r="U535" s="195"/>
      <c r="V535" s="196"/>
    </row>
    <row r="536" spans="1:22">
      <c r="A536" s="191"/>
      <c r="B536" s="197"/>
      <c r="C536" s="198"/>
      <c r="D536" s="199"/>
      <c r="E536" s="199"/>
      <c r="F536" s="199"/>
      <c r="G536" s="199"/>
      <c r="H536" s="199"/>
      <c r="I536" s="199"/>
      <c r="J536" s="202"/>
      <c r="K536" s="202"/>
      <c r="L536" s="199"/>
      <c r="M536" s="199"/>
      <c r="N536" s="199"/>
      <c r="O536" s="202"/>
      <c r="P536" s="202"/>
      <c r="Q536" s="199"/>
      <c r="R536" s="202"/>
      <c r="S536" s="202"/>
      <c r="T536" s="202"/>
      <c r="U536" s="202"/>
      <c r="V536" s="196"/>
    </row>
    <row r="537" spans="1:22">
      <c r="A537" s="191"/>
      <c r="B537" s="168"/>
      <c r="C537" s="188"/>
      <c r="D537" s="189"/>
      <c r="E537" s="189"/>
      <c r="F537" s="189"/>
      <c r="G537" s="189"/>
      <c r="H537" s="189"/>
      <c r="I537" s="189"/>
      <c r="J537" s="190"/>
      <c r="K537" s="190"/>
      <c r="L537" s="189"/>
      <c r="M537" s="189"/>
      <c r="N537" s="189"/>
      <c r="O537" s="190"/>
      <c r="P537" s="190"/>
      <c r="Q537" s="189"/>
      <c r="R537" s="190"/>
      <c r="S537" s="190"/>
      <c r="T537" s="190"/>
      <c r="U537" s="190"/>
      <c r="V537" s="196"/>
    </row>
    <row r="538" spans="1:22">
      <c r="A538" s="191"/>
      <c r="B538" s="192"/>
      <c r="C538" s="193"/>
      <c r="D538" s="194"/>
      <c r="E538" s="194"/>
      <c r="F538" s="194"/>
      <c r="G538" s="194"/>
      <c r="H538" s="194"/>
      <c r="I538" s="194"/>
      <c r="J538" s="195"/>
      <c r="K538" s="195"/>
      <c r="L538" s="194"/>
      <c r="M538" s="194"/>
      <c r="N538" s="194"/>
      <c r="O538" s="195"/>
      <c r="P538" s="195"/>
      <c r="Q538" s="194"/>
      <c r="R538" s="195"/>
      <c r="S538" s="195"/>
      <c r="T538" s="195"/>
      <c r="U538" s="195"/>
      <c r="V538" s="196"/>
    </row>
    <row r="539" spans="1:22">
      <c r="A539" s="191"/>
      <c r="B539" s="197"/>
      <c r="C539" s="198"/>
      <c r="D539" s="199"/>
      <c r="E539" s="199"/>
      <c r="F539" s="199"/>
      <c r="G539" s="199"/>
      <c r="H539" s="199"/>
      <c r="I539" s="199"/>
      <c r="J539" s="202"/>
      <c r="K539" s="202"/>
      <c r="L539" s="199"/>
      <c r="M539" s="199"/>
      <c r="N539" s="199"/>
      <c r="O539" s="202"/>
      <c r="P539" s="202"/>
      <c r="Q539" s="199"/>
      <c r="R539" s="202"/>
      <c r="S539" s="202"/>
      <c r="T539" s="202"/>
      <c r="U539" s="202"/>
      <c r="V539" s="196"/>
    </row>
    <row r="540" spans="1:22">
      <c r="A540" s="191"/>
      <c r="B540" s="168"/>
      <c r="C540" s="188"/>
      <c r="D540" s="189"/>
      <c r="E540" s="189"/>
      <c r="F540" s="189"/>
      <c r="G540" s="189"/>
      <c r="H540" s="189"/>
      <c r="I540" s="189"/>
      <c r="J540" s="190"/>
      <c r="K540" s="190"/>
      <c r="L540" s="189"/>
      <c r="M540" s="189"/>
      <c r="N540" s="189"/>
      <c r="O540" s="190"/>
      <c r="P540" s="190"/>
      <c r="Q540" s="189"/>
      <c r="R540" s="190"/>
      <c r="S540" s="190"/>
      <c r="T540" s="190"/>
      <c r="U540" s="190"/>
      <c r="V540" s="196"/>
    </row>
    <row r="541" spans="1:22">
      <c r="A541" s="191"/>
      <c r="B541" s="192"/>
      <c r="C541" s="205"/>
      <c r="D541" s="194"/>
      <c r="E541" s="194"/>
      <c r="F541" s="194"/>
      <c r="G541" s="194"/>
      <c r="H541" s="194"/>
      <c r="I541" s="194"/>
      <c r="J541" s="195"/>
      <c r="K541" s="195"/>
      <c r="L541" s="194"/>
      <c r="M541" s="194"/>
      <c r="N541" s="194"/>
      <c r="O541" s="195"/>
      <c r="P541" s="195"/>
      <c r="Q541" s="194"/>
      <c r="R541" s="195"/>
      <c r="S541" s="195"/>
      <c r="T541" s="195"/>
      <c r="U541" s="195"/>
      <c r="V541" s="196"/>
    </row>
    <row r="542" spans="1:22">
      <c r="A542" s="191"/>
      <c r="B542" s="197"/>
      <c r="C542" s="198"/>
      <c r="D542" s="199"/>
      <c r="E542" s="199"/>
      <c r="F542" s="199"/>
      <c r="G542" s="199"/>
      <c r="H542" s="199"/>
      <c r="I542" s="199"/>
      <c r="J542" s="202"/>
      <c r="K542" s="202"/>
      <c r="L542" s="199"/>
      <c r="M542" s="199"/>
      <c r="N542" s="199"/>
      <c r="O542" s="202"/>
      <c r="P542" s="202"/>
      <c r="Q542" s="199"/>
      <c r="R542" s="202"/>
      <c r="S542" s="202"/>
      <c r="T542" s="202"/>
      <c r="U542" s="202"/>
      <c r="V542" s="196"/>
    </row>
    <row r="543" spans="1:22">
      <c r="A543" s="191"/>
      <c r="B543" s="168"/>
      <c r="C543" s="188"/>
      <c r="D543" s="189"/>
      <c r="E543" s="189"/>
      <c r="F543" s="189"/>
      <c r="G543" s="189"/>
      <c r="H543" s="189"/>
      <c r="I543" s="189"/>
      <c r="J543" s="190"/>
      <c r="K543" s="190"/>
      <c r="L543" s="189"/>
      <c r="M543" s="189"/>
      <c r="N543" s="189"/>
      <c r="O543" s="190"/>
      <c r="P543" s="190"/>
      <c r="Q543" s="189"/>
      <c r="R543" s="190"/>
      <c r="S543" s="190"/>
      <c r="T543" s="190"/>
      <c r="U543" s="190"/>
      <c r="V543" s="196"/>
    </row>
    <row r="544" spans="1:22">
      <c r="A544" s="191"/>
      <c r="B544" s="192"/>
      <c r="C544" s="193"/>
      <c r="D544" s="194"/>
      <c r="E544" s="194"/>
      <c r="F544" s="194"/>
      <c r="G544" s="194"/>
      <c r="H544" s="194"/>
      <c r="I544" s="194"/>
      <c r="J544" s="195"/>
      <c r="K544" s="195"/>
      <c r="L544" s="194"/>
      <c r="M544" s="194"/>
      <c r="N544" s="194"/>
      <c r="O544" s="195"/>
      <c r="P544" s="195"/>
      <c r="Q544" s="194"/>
      <c r="R544" s="195"/>
      <c r="S544" s="195"/>
      <c r="T544" s="195"/>
      <c r="U544" s="195"/>
      <c r="V544" s="196"/>
    </row>
    <row r="545" spans="1:22" ht="15.75" thickBot="1">
      <c r="A545" s="210"/>
      <c r="B545" s="211"/>
      <c r="C545" s="212"/>
      <c r="D545" s="213"/>
      <c r="E545" s="213"/>
      <c r="F545" s="213"/>
      <c r="G545" s="213"/>
      <c r="H545" s="213"/>
      <c r="I545" s="213"/>
      <c r="J545" s="214"/>
      <c r="K545" s="214"/>
      <c r="L545" s="213"/>
      <c r="M545" s="213"/>
      <c r="N545" s="213"/>
      <c r="O545" s="214"/>
      <c r="P545" s="214"/>
      <c r="Q545" s="213"/>
      <c r="R545" s="214"/>
      <c r="S545" s="214"/>
      <c r="T545" s="214"/>
      <c r="U545" s="214"/>
      <c r="V545" s="196"/>
    </row>
    <row r="546" spans="1:22">
      <c r="A546" s="187"/>
      <c r="B546" s="168"/>
      <c r="C546" s="188"/>
      <c r="D546" s="189"/>
      <c r="E546" s="189"/>
      <c r="F546" s="189"/>
      <c r="G546" s="189"/>
      <c r="H546" s="189"/>
      <c r="I546" s="189"/>
      <c r="J546" s="190"/>
      <c r="K546" s="190"/>
      <c r="L546" s="189"/>
      <c r="M546" s="189"/>
      <c r="N546" s="189"/>
      <c r="O546" s="190"/>
      <c r="P546" s="190"/>
      <c r="Q546" s="189"/>
      <c r="R546" s="190"/>
      <c r="S546" s="190"/>
      <c r="T546" s="190"/>
      <c r="U546" s="190"/>
      <c r="V546" s="196"/>
    </row>
    <row r="547" spans="1:22">
      <c r="A547" s="191"/>
      <c r="B547" s="192"/>
      <c r="C547" s="193"/>
      <c r="D547" s="194"/>
      <c r="E547" s="194"/>
      <c r="F547" s="194"/>
      <c r="G547" s="194"/>
      <c r="H547" s="194"/>
      <c r="I547" s="194"/>
      <c r="J547" s="195"/>
      <c r="K547" s="195"/>
      <c r="L547" s="194"/>
      <c r="M547" s="194"/>
      <c r="N547" s="194"/>
      <c r="O547" s="195"/>
      <c r="P547" s="195"/>
      <c r="Q547" s="194"/>
      <c r="R547" s="195"/>
      <c r="S547" s="195"/>
      <c r="T547" s="195"/>
      <c r="U547" s="195"/>
      <c r="V547" s="196"/>
    </row>
    <row r="548" spans="1:22">
      <c r="A548" s="191"/>
      <c r="B548" s="197"/>
      <c r="C548" s="198"/>
      <c r="D548" s="199"/>
      <c r="E548" s="199"/>
      <c r="F548" s="199"/>
      <c r="G548" s="199"/>
      <c r="H548" s="201"/>
      <c r="I548" s="199"/>
      <c r="J548" s="202"/>
      <c r="K548" s="202"/>
      <c r="L548" s="199"/>
      <c r="M548" s="199"/>
      <c r="N548" s="199"/>
      <c r="O548" s="202"/>
      <c r="P548" s="202"/>
      <c r="Q548" s="199"/>
      <c r="R548" s="202"/>
      <c r="S548" s="202"/>
      <c r="T548" s="202"/>
      <c r="U548" s="202"/>
      <c r="V548" s="196"/>
    </row>
    <row r="549" spans="1:22">
      <c r="A549" s="191"/>
      <c r="B549" s="168"/>
      <c r="C549" s="188"/>
      <c r="D549" s="189"/>
      <c r="E549" s="189"/>
      <c r="F549" s="189"/>
      <c r="G549" s="189"/>
      <c r="H549" s="189"/>
      <c r="I549" s="189"/>
      <c r="J549" s="190"/>
      <c r="K549" s="190"/>
      <c r="L549" s="189"/>
      <c r="M549" s="189"/>
      <c r="N549" s="189"/>
      <c r="O549" s="190"/>
      <c r="P549" s="190"/>
      <c r="Q549" s="189"/>
      <c r="R549" s="190"/>
      <c r="S549" s="190"/>
      <c r="T549" s="190"/>
      <c r="U549" s="190"/>
      <c r="V549" s="196"/>
    </row>
    <row r="550" spans="1:22">
      <c r="A550" s="191"/>
      <c r="B550" s="192"/>
      <c r="C550" s="193"/>
      <c r="D550" s="194"/>
      <c r="E550" s="194"/>
      <c r="F550" s="194"/>
      <c r="G550" s="194"/>
      <c r="H550" s="194"/>
      <c r="I550" s="194"/>
      <c r="J550" s="195"/>
      <c r="K550" s="195"/>
      <c r="L550" s="194"/>
      <c r="M550" s="194"/>
      <c r="N550" s="194"/>
      <c r="O550" s="195"/>
      <c r="P550" s="195"/>
      <c r="Q550" s="194"/>
      <c r="R550" s="195"/>
      <c r="S550" s="195"/>
      <c r="T550" s="195"/>
      <c r="U550" s="195"/>
      <c r="V550" s="196"/>
    </row>
    <row r="551" spans="1:22">
      <c r="A551" s="191"/>
      <c r="B551" s="197"/>
      <c r="C551" s="198"/>
      <c r="D551" s="199"/>
      <c r="E551" s="199"/>
      <c r="F551" s="199"/>
      <c r="G551" s="199"/>
      <c r="H551" s="199"/>
      <c r="I551" s="199"/>
      <c r="J551" s="202"/>
      <c r="K551" s="202"/>
      <c r="L551" s="199"/>
      <c r="M551" s="199"/>
      <c r="N551" s="199"/>
      <c r="O551" s="202"/>
      <c r="P551" s="202"/>
      <c r="Q551" s="199"/>
      <c r="R551" s="202"/>
      <c r="S551" s="202"/>
      <c r="T551" s="202"/>
      <c r="U551" s="202"/>
      <c r="V551" s="196"/>
    </row>
    <row r="552" spans="1:22">
      <c r="A552" s="191"/>
      <c r="B552" s="168"/>
      <c r="C552" s="188"/>
      <c r="D552" s="189"/>
      <c r="E552" s="189"/>
      <c r="F552" s="189"/>
      <c r="G552" s="189"/>
      <c r="H552" s="189"/>
      <c r="I552" s="189"/>
      <c r="J552" s="190"/>
      <c r="K552" s="190"/>
      <c r="L552" s="189"/>
      <c r="M552" s="189"/>
      <c r="N552" s="189"/>
      <c r="O552" s="190"/>
      <c r="P552" s="190"/>
      <c r="Q552" s="189"/>
      <c r="R552" s="190"/>
      <c r="S552" s="190"/>
      <c r="T552" s="190"/>
      <c r="U552" s="190"/>
      <c r="V552" s="196"/>
    </row>
    <row r="553" spans="1:22">
      <c r="A553" s="191"/>
      <c r="B553" s="192"/>
      <c r="C553" s="193"/>
      <c r="D553" s="194"/>
      <c r="E553" s="194"/>
      <c r="F553" s="194"/>
      <c r="G553" s="194"/>
      <c r="H553" s="194"/>
      <c r="I553" s="194"/>
      <c r="J553" s="195"/>
      <c r="K553" s="195"/>
      <c r="L553" s="194"/>
      <c r="M553" s="194"/>
      <c r="N553" s="194"/>
      <c r="O553" s="195"/>
      <c r="P553" s="195"/>
      <c r="Q553" s="194"/>
      <c r="R553" s="195"/>
      <c r="S553" s="195"/>
      <c r="T553" s="195"/>
      <c r="U553" s="195"/>
      <c r="V553" s="196"/>
    </row>
    <row r="554" spans="1:22">
      <c r="A554" s="191"/>
      <c r="B554" s="197"/>
      <c r="C554" s="198"/>
      <c r="D554" s="199"/>
      <c r="E554" s="199"/>
      <c r="F554" s="199"/>
      <c r="G554" s="199"/>
      <c r="H554" s="199"/>
      <c r="I554" s="199"/>
      <c r="J554" s="202"/>
      <c r="K554" s="202"/>
      <c r="L554" s="199"/>
      <c r="M554" s="199"/>
      <c r="N554" s="199"/>
      <c r="O554" s="202"/>
      <c r="P554" s="202"/>
      <c r="Q554" s="199"/>
      <c r="R554" s="202"/>
      <c r="S554" s="202"/>
      <c r="T554" s="202"/>
      <c r="U554" s="202"/>
      <c r="V554" s="196"/>
    </row>
    <row r="555" spans="1:22">
      <c r="A555" s="191"/>
      <c r="B555" s="168"/>
      <c r="C555" s="188"/>
      <c r="D555" s="189"/>
      <c r="E555" s="189"/>
      <c r="F555" s="189"/>
      <c r="G555" s="189"/>
      <c r="H555" s="189"/>
      <c r="I555" s="189"/>
      <c r="J555" s="190"/>
      <c r="K555" s="190"/>
      <c r="L555" s="189"/>
      <c r="M555" s="189"/>
      <c r="N555" s="189"/>
      <c r="O555" s="190"/>
      <c r="P555" s="190"/>
      <c r="Q555" s="189"/>
      <c r="R555" s="190"/>
      <c r="S555" s="190"/>
      <c r="T555" s="190"/>
      <c r="U555" s="190"/>
      <c r="V555" s="196"/>
    </row>
    <row r="556" spans="1:22">
      <c r="A556" s="191"/>
      <c r="B556" s="192"/>
      <c r="C556" s="193"/>
      <c r="D556" s="194"/>
      <c r="E556" s="194"/>
      <c r="F556" s="194"/>
      <c r="G556" s="194"/>
      <c r="H556" s="194"/>
      <c r="I556" s="194"/>
      <c r="J556" s="195"/>
      <c r="K556" s="195"/>
      <c r="L556" s="194"/>
      <c r="M556" s="194"/>
      <c r="N556" s="194"/>
      <c r="O556" s="195"/>
      <c r="P556" s="195"/>
      <c r="Q556" s="194"/>
      <c r="R556" s="195"/>
      <c r="S556" s="195"/>
      <c r="T556" s="195"/>
      <c r="U556" s="195"/>
      <c r="V556" s="196"/>
    </row>
    <row r="557" spans="1:22">
      <c r="A557" s="191"/>
      <c r="B557" s="197"/>
      <c r="C557" s="198"/>
      <c r="D557" s="199"/>
      <c r="E557" s="199"/>
      <c r="F557" s="199"/>
      <c r="G557" s="199"/>
      <c r="H557" s="199"/>
      <c r="I557" s="199"/>
      <c r="J557" s="202"/>
      <c r="K557" s="202"/>
      <c r="L557" s="199"/>
      <c r="M557" s="199"/>
      <c r="N557" s="199"/>
      <c r="O557" s="202"/>
      <c r="P557" s="202"/>
      <c r="Q557" s="199"/>
      <c r="R557" s="202"/>
      <c r="S557" s="202"/>
      <c r="T557" s="202"/>
      <c r="U557" s="202"/>
      <c r="V557" s="196"/>
    </row>
    <row r="558" spans="1:22">
      <c r="A558" s="191"/>
      <c r="B558" s="168"/>
      <c r="C558" s="188"/>
      <c r="D558" s="189"/>
      <c r="E558" s="189"/>
      <c r="F558" s="189"/>
      <c r="G558" s="189"/>
      <c r="H558" s="189"/>
      <c r="I558" s="189"/>
      <c r="J558" s="190"/>
      <c r="K558" s="190"/>
      <c r="L558" s="189"/>
      <c r="M558" s="189"/>
      <c r="N558" s="189"/>
      <c r="O558" s="190"/>
      <c r="P558" s="190"/>
      <c r="Q558" s="189"/>
      <c r="R558" s="190"/>
      <c r="S558" s="190"/>
      <c r="T558" s="190"/>
      <c r="U558" s="190"/>
      <c r="V558" s="196"/>
    </row>
    <row r="559" spans="1:22">
      <c r="A559" s="191"/>
      <c r="B559" s="192"/>
      <c r="C559" s="193"/>
      <c r="D559" s="194"/>
      <c r="E559" s="194"/>
      <c r="F559" s="194"/>
      <c r="G559" s="194"/>
      <c r="H559" s="194"/>
      <c r="I559" s="194"/>
      <c r="J559" s="195"/>
      <c r="K559" s="195"/>
      <c r="L559" s="194"/>
      <c r="M559" s="194"/>
      <c r="N559" s="194"/>
      <c r="O559" s="195"/>
      <c r="P559" s="195"/>
      <c r="Q559" s="194"/>
      <c r="R559" s="195"/>
      <c r="S559" s="195"/>
      <c r="T559" s="195"/>
      <c r="U559" s="195"/>
      <c r="V559" s="196"/>
    </row>
    <row r="560" spans="1:22">
      <c r="A560" s="191"/>
      <c r="B560" s="197"/>
      <c r="C560" s="198"/>
      <c r="D560" s="199"/>
      <c r="E560" s="199"/>
      <c r="F560" s="199"/>
      <c r="G560" s="199"/>
      <c r="H560" s="199"/>
      <c r="I560" s="199"/>
      <c r="J560" s="202"/>
      <c r="K560" s="202"/>
      <c r="L560" s="199"/>
      <c r="M560" s="199"/>
      <c r="N560" s="199"/>
      <c r="O560" s="202"/>
      <c r="P560" s="202"/>
      <c r="Q560" s="199"/>
      <c r="R560" s="202"/>
      <c r="S560" s="202"/>
      <c r="T560" s="202"/>
      <c r="U560" s="202"/>
      <c r="V560" s="196"/>
    </row>
    <row r="561" spans="1:22">
      <c r="A561" s="191"/>
      <c r="B561" s="168"/>
      <c r="C561" s="188"/>
      <c r="D561" s="189"/>
      <c r="E561" s="189"/>
      <c r="F561" s="189"/>
      <c r="G561" s="189"/>
      <c r="H561" s="189"/>
      <c r="I561" s="189"/>
      <c r="J561" s="190"/>
      <c r="K561" s="190"/>
      <c r="L561" s="189"/>
      <c r="M561" s="189"/>
      <c r="N561" s="189"/>
      <c r="O561" s="190"/>
      <c r="P561" s="190"/>
      <c r="Q561" s="189"/>
      <c r="R561" s="190"/>
      <c r="S561" s="190"/>
      <c r="T561" s="190"/>
      <c r="U561" s="190"/>
      <c r="V561" s="196"/>
    </row>
    <row r="562" spans="1:22">
      <c r="A562" s="191"/>
      <c r="B562" s="192"/>
      <c r="C562" s="193"/>
      <c r="D562" s="194"/>
      <c r="E562" s="194"/>
      <c r="F562" s="194"/>
      <c r="G562" s="194"/>
      <c r="H562" s="194"/>
      <c r="I562" s="194"/>
      <c r="J562" s="195"/>
      <c r="K562" s="195"/>
      <c r="L562" s="194"/>
      <c r="M562" s="194"/>
      <c r="N562" s="194"/>
      <c r="O562" s="195"/>
      <c r="P562" s="195"/>
      <c r="Q562" s="194"/>
      <c r="R562" s="195"/>
      <c r="S562" s="195"/>
      <c r="T562" s="195"/>
      <c r="U562" s="195"/>
      <c r="V562" s="196"/>
    </row>
    <row r="563" spans="1:22" ht="15.75" thickBot="1">
      <c r="A563" s="191"/>
      <c r="B563" s="206"/>
      <c r="C563" s="207"/>
      <c r="D563" s="208"/>
      <c r="E563" s="208"/>
      <c r="F563" s="208"/>
      <c r="G563" s="208"/>
      <c r="H563" s="208"/>
      <c r="I563" s="208"/>
      <c r="J563" s="209"/>
      <c r="K563" s="209"/>
      <c r="L563" s="208"/>
      <c r="M563" s="208"/>
      <c r="N563" s="208"/>
      <c r="O563" s="209"/>
      <c r="P563" s="209"/>
      <c r="Q563" s="208"/>
      <c r="R563" s="209"/>
      <c r="S563" s="209"/>
      <c r="T563" s="209"/>
      <c r="U563" s="209"/>
      <c r="V563" s="196"/>
    </row>
    <row r="564" spans="1:22" ht="15.75" thickTop="1">
      <c r="A564" s="191"/>
      <c r="B564" s="192"/>
      <c r="C564" s="193"/>
      <c r="D564" s="194"/>
      <c r="E564" s="194"/>
      <c r="F564" s="194"/>
      <c r="G564" s="194"/>
      <c r="H564" s="194"/>
      <c r="I564" s="194"/>
      <c r="J564" s="195"/>
      <c r="K564" s="195"/>
      <c r="L564" s="194"/>
      <c r="M564" s="194"/>
      <c r="N564" s="194"/>
      <c r="O564" s="195"/>
      <c r="P564" s="195"/>
      <c r="Q564" s="194"/>
      <c r="R564" s="195"/>
      <c r="S564" s="195"/>
      <c r="T564" s="195"/>
      <c r="U564" s="195"/>
      <c r="V564" s="196"/>
    </row>
    <row r="565" spans="1:22">
      <c r="A565" s="191"/>
      <c r="B565" s="192"/>
      <c r="C565" s="193"/>
      <c r="D565" s="194"/>
      <c r="E565" s="194"/>
      <c r="F565" s="194"/>
      <c r="G565" s="194"/>
      <c r="H565" s="194"/>
      <c r="I565" s="194"/>
      <c r="J565" s="195"/>
      <c r="K565" s="195"/>
      <c r="L565" s="194"/>
      <c r="M565" s="194"/>
      <c r="N565" s="194"/>
      <c r="O565" s="195"/>
      <c r="P565" s="195"/>
      <c r="Q565" s="194"/>
      <c r="R565" s="195"/>
      <c r="S565" s="195"/>
      <c r="T565" s="195"/>
      <c r="U565" s="195"/>
      <c r="V565" s="196"/>
    </row>
    <row r="566" spans="1:22">
      <c r="A566" s="191"/>
      <c r="B566" s="197"/>
      <c r="C566" s="198"/>
      <c r="D566" s="199"/>
      <c r="E566" s="201"/>
      <c r="F566" s="199"/>
      <c r="G566" s="199"/>
      <c r="H566" s="201"/>
      <c r="I566" s="199"/>
      <c r="J566" s="202"/>
      <c r="K566" s="202"/>
      <c r="L566" s="199"/>
      <c r="M566" s="199"/>
      <c r="N566" s="199"/>
      <c r="O566" s="202"/>
      <c r="P566" s="202"/>
      <c r="Q566" s="199"/>
      <c r="R566" s="202"/>
      <c r="S566" s="202"/>
      <c r="T566" s="202"/>
      <c r="U566" s="202"/>
      <c r="V566" s="196"/>
    </row>
    <row r="567" spans="1:22">
      <c r="A567" s="191"/>
      <c r="B567" s="168"/>
      <c r="C567" s="188"/>
      <c r="D567" s="189"/>
      <c r="E567" s="189"/>
      <c r="F567" s="189"/>
      <c r="G567" s="189"/>
      <c r="H567" s="189"/>
      <c r="I567" s="189"/>
      <c r="J567" s="190"/>
      <c r="K567" s="190"/>
      <c r="L567" s="189"/>
      <c r="M567" s="189"/>
      <c r="N567" s="189"/>
      <c r="O567" s="190"/>
      <c r="P567" s="190"/>
      <c r="Q567" s="189"/>
      <c r="R567" s="190"/>
      <c r="S567" s="190"/>
      <c r="T567" s="190"/>
      <c r="U567" s="190"/>
      <c r="V567" s="196"/>
    </row>
    <row r="568" spans="1:22">
      <c r="A568" s="191"/>
      <c r="B568" s="192"/>
      <c r="C568" s="193"/>
      <c r="D568" s="194"/>
      <c r="E568" s="194"/>
      <c r="F568" s="194"/>
      <c r="G568" s="194"/>
      <c r="H568" s="194"/>
      <c r="I568" s="194"/>
      <c r="J568" s="195"/>
      <c r="K568" s="195"/>
      <c r="L568" s="194"/>
      <c r="M568" s="194"/>
      <c r="N568" s="194"/>
      <c r="O568" s="195"/>
      <c r="P568" s="195"/>
      <c r="Q568" s="194"/>
      <c r="R568" s="195"/>
      <c r="S568" s="195"/>
      <c r="T568" s="195"/>
      <c r="U568" s="195"/>
      <c r="V568" s="196"/>
    </row>
    <row r="569" spans="1:22">
      <c r="A569" s="191"/>
      <c r="B569" s="197"/>
      <c r="C569" s="198"/>
      <c r="D569" s="199"/>
      <c r="E569" s="199"/>
      <c r="F569" s="199"/>
      <c r="G569" s="199"/>
      <c r="H569" s="199"/>
      <c r="I569" s="199"/>
      <c r="J569" s="202"/>
      <c r="K569" s="202"/>
      <c r="L569" s="199"/>
      <c r="M569" s="199"/>
      <c r="N569" s="199"/>
      <c r="O569" s="202"/>
      <c r="P569" s="202"/>
      <c r="Q569" s="199"/>
      <c r="R569" s="202"/>
      <c r="S569" s="202"/>
      <c r="T569" s="202"/>
      <c r="U569" s="202"/>
      <c r="V569" s="196"/>
    </row>
    <row r="570" spans="1:22">
      <c r="A570" s="191"/>
      <c r="B570" s="168"/>
      <c r="C570" s="188"/>
      <c r="D570" s="189"/>
      <c r="E570" s="189"/>
      <c r="F570" s="189"/>
      <c r="G570" s="189"/>
      <c r="H570" s="189"/>
      <c r="I570" s="189"/>
      <c r="J570" s="190"/>
      <c r="K570" s="190"/>
      <c r="L570" s="189"/>
      <c r="M570" s="189"/>
      <c r="N570" s="189"/>
      <c r="O570" s="190"/>
      <c r="P570" s="190"/>
      <c r="Q570" s="189"/>
      <c r="R570" s="190"/>
      <c r="S570" s="190"/>
      <c r="T570" s="190"/>
      <c r="U570" s="190"/>
      <c r="V570" s="196"/>
    </row>
    <row r="571" spans="1:22">
      <c r="A571" s="191"/>
      <c r="B571" s="192"/>
      <c r="C571" s="193"/>
      <c r="D571" s="194"/>
      <c r="E571" s="194"/>
      <c r="F571" s="194"/>
      <c r="G571" s="194"/>
      <c r="H571" s="194"/>
      <c r="I571" s="194"/>
      <c r="J571" s="195"/>
      <c r="K571" s="195"/>
      <c r="L571" s="194"/>
      <c r="M571" s="194"/>
      <c r="N571" s="194"/>
      <c r="O571" s="195"/>
      <c r="P571" s="195"/>
      <c r="Q571" s="194"/>
      <c r="R571" s="195"/>
      <c r="S571" s="195"/>
      <c r="T571" s="195"/>
      <c r="U571" s="195"/>
      <c r="V571" s="196"/>
    </row>
    <row r="572" spans="1:22">
      <c r="A572" s="191"/>
      <c r="B572" s="197"/>
      <c r="C572" s="198"/>
      <c r="D572" s="199"/>
      <c r="E572" s="201"/>
      <c r="F572" s="199"/>
      <c r="G572" s="199"/>
      <c r="H572" s="201"/>
      <c r="I572" s="199"/>
      <c r="J572" s="202"/>
      <c r="K572" s="202"/>
      <c r="L572" s="199"/>
      <c r="M572" s="199"/>
      <c r="N572" s="199"/>
      <c r="O572" s="202"/>
      <c r="P572" s="202"/>
      <c r="Q572" s="199"/>
      <c r="R572" s="202"/>
      <c r="S572" s="202"/>
      <c r="T572" s="202"/>
      <c r="U572" s="202"/>
      <c r="V572" s="196"/>
    </row>
    <row r="573" spans="1:22">
      <c r="A573" s="191"/>
      <c r="B573" s="168"/>
      <c r="C573" s="188"/>
      <c r="D573" s="189"/>
      <c r="E573" s="189"/>
      <c r="F573" s="189"/>
      <c r="G573" s="189"/>
      <c r="H573" s="189"/>
      <c r="I573" s="189"/>
      <c r="J573" s="190"/>
      <c r="K573" s="190"/>
      <c r="L573" s="189"/>
      <c r="M573" s="189"/>
      <c r="N573" s="189"/>
      <c r="O573" s="190"/>
      <c r="P573" s="190"/>
      <c r="Q573" s="189"/>
      <c r="R573" s="190"/>
      <c r="S573" s="190"/>
      <c r="T573" s="190"/>
      <c r="U573" s="190"/>
      <c r="V573" s="196"/>
    </row>
    <row r="574" spans="1:22">
      <c r="A574" s="191"/>
      <c r="B574" s="192"/>
      <c r="C574" s="193"/>
      <c r="D574" s="194"/>
      <c r="E574" s="194"/>
      <c r="F574" s="194"/>
      <c r="G574" s="194"/>
      <c r="H574" s="194"/>
      <c r="I574" s="194"/>
      <c r="J574" s="195"/>
      <c r="K574" s="195"/>
      <c r="L574" s="194"/>
      <c r="M574" s="194"/>
      <c r="N574" s="194"/>
      <c r="O574" s="195"/>
      <c r="P574" s="195"/>
      <c r="Q574" s="194"/>
      <c r="R574" s="195"/>
      <c r="S574" s="195"/>
      <c r="T574" s="195"/>
      <c r="U574" s="195"/>
      <c r="V574" s="196"/>
    </row>
    <row r="575" spans="1:22">
      <c r="A575" s="191"/>
      <c r="B575" s="197"/>
      <c r="C575" s="198"/>
      <c r="D575" s="199"/>
      <c r="E575" s="199"/>
      <c r="F575" s="199"/>
      <c r="G575" s="199"/>
      <c r="H575" s="199"/>
      <c r="I575" s="199"/>
      <c r="J575" s="202"/>
      <c r="K575" s="202"/>
      <c r="L575" s="199"/>
      <c r="M575" s="199"/>
      <c r="N575" s="199"/>
      <c r="O575" s="202"/>
      <c r="P575" s="202"/>
      <c r="Q575" s="199"/>
      <c r="R575" s="202"/>
      <c r="S575" s="202"/>
      <c r="T575" s="202"/>
      <c r="U575" s="202"/>
      <c r="V575" s="196"/>
    </row>
    <row r="576" spans="1:22">
      <c r="A576" s="191"/>
      <c r="B576" s="168"/>
      <c r="C576" s="188"/>
      <c r="D576" s="189"/>
      <c r="E576" s="189"/>
      <c r="F576" s="189"/>
      <c r="G576" s="189"/>
      <c r="H576" s="189"/>
      <c r="I576" s="189"/>
      <c r="J576" s="190"/>
      <c r="K576" s="190"/>
      <c r="L576" s="189"/>
      <c r="M576" s="189"/>
      <c r="N576" s="189"/>
      <c r="O576" s="190"/>
      <c r="P576" s="190"/>
      <c r="Q576" s="189"/>
      <c r="R576" s="190"/>
      <c r="S576" s="190"/>
      <c r="T576" s="190"/>
      <c r="U576" s="190"/>
      <c r="V576" s="196"/>
    </row>
    <row r="577" spans="1:22">
      <c r="A577" s="191"/>
      <c r="B577" s="192"/>
      <c r="C577" s="193"/>
      <c r="D577" s="194"/>
      <c r="E577" s="194"/>
      <c r="F577" s="194"/>
      <c r="G577" s="194"/>
      <c r="H577" s="194"/>
      <c r="I577" s="194"/>
      <c r="J577" s="195"/>
      <c r="K577" s="195"/>
      <c r="L577" s="194"/>
      <c r="M577" s="194"/>
      <c r="N577" s="194"/>
      <c r="O577" s="195"/>
      <c r="P577" s="195"/>
      <c r="Q577" s="194"/>
      <c r="R577" s="195"/>
      <c r="S577" s="195"/>
      <c r="T577" s="195"/>
      <c r="U577" s="195"/>
      <c r="V577" s="196"/>
    </row>
    <row r="578" spans="1:22">
      <c r="A578" s="191"/>
      <c r="B578" s="197"/>
      <c r="C578" s="198"/>
      <c r="D578" s="199"/>
      <c r="E578" s="199"/>
      <c r="F578" s="199"/>
      <c r="G578" s="199"/>
      <c r="H578" s="199"/>
      <c r="I578" s="199"/>
      <c r="J578" s="202"/>
      <c r="K578" s="202"/>
      <c r="L578" s="199"/>
      <c r="M578" s="199"/>
      <c r="N578" s="199"/>
      <c r="O578" s="202"/>
      <c r="P578" s="202"/>
      <c r="Q578" s="199"/>
      <c r="R578" s="202"/>
      <c r="S578" s="202"/>
      <c r="T578" s="202"/>
      <c r="U578" s="202"/>
      <c r="V578" s="196"/>
    </row>
    <row r="579" spans="1:22">
      <c r="A579" s="191"/>
      <c r="B579" s="168"/>
      <c r="C579" s="188"/>
      <c r="D579" s="189"/>
      <c r="E579" s="189"/>
      <c r="F579" s="189"/>
      <c r="G579" s="189"/>
      <c r="H579" s="189"/>
      <c r="I579" s="189"/>
      <c r="J579" s="190"/>
      <c r="K579" s="190"/>
      <c r="L579" s="189"/>
      <c r="M579" s="189"/>
      <c r="N579" s="189"/>
      <c r="O579" s="190"/>
      <c r="P579" s="190"/>
      <c r="Q579" s="189"/>
      <c r="R579" s="190"/>
      <c r="S579" s="190"/>
      <c r="T579" s="190"/>
      <c r="U579" s="190"/>
      <c r="V579" s="196"/>
    </row>
    <row r="580" spans="1:22">
      <c r="A580" s="191"/>
      <c r="B580" s="192"/>
      <c r="C580" s="193"/>
      <c r="D580" s="194"/>
      <c r="E580" s="194"/>
      <c r="F580" s="194"/>
      <c r="G580" s="194"/>
      <c r="H580" s="194"/>
      <c r="I580" s="194"/>
      <c r="J580" s="195"/>
      <c r="K580" s="195"/>
      <c r="L580" s="194"/>
      <c r="M580" s="194"/>
      <c r="N580" s="194"/>
      <c r="O580" s="195"/>
      <c r="P580" s="195"/>
      <c r="Q580" s="194"/>
      <c r="R580" s="195"/>
      <c r="S580" s="195"/>
      <c r="T580" s="195"/>
      <c r="U580" s="195"/>
      <c r="V580" s="196"/>
    </row>
    <row r="581" spans="1:22" ht="15.75" thickBot="1">
      <c r="A581" s="210"/>
      <c r="B581" s="211"/>
      <c r="C581" s="212"/>
      <c r="D581" s="213"/>
      <c r="E581" s="213"/>
      <c r="F581" s="213"/>
      <c r="G581" s="213"/>
      <c r="H581" s="213"/>
      <c r="I581" s="213"/>
      <c r="J581" s="214"/>
      <c r="K581" s="214"/>
      <c r="L581" s="213"/>
      <c r="M581" s="213"/>
      <c r="N581" s="213"/>
      <c r="O581" s="214"/>
      <c r="P581" s="214"/>
      <c r="Q581" s="213"/>
      <c r="R581" s="214"/>
      <c r="S581" s="214"/>
      <c r="T581" s="214"/>
      <c r="U581" s="214"/>
      <c r="V581" s="196"/>
    </row>
    <row r="582" spans="1:22">
      <c r="A582" s="187"/>
      <c r="B582" s="168"/>
      <c r="C582" s="188"/>
      <c r="D582" s="189"/>
      <c r="E582" s="189"/>
      <c r="F582" s="189"/>
      <c r="G582" s="189"/>
      <c r="H582" s="189"/>
      <c r="I582" s="189"/>
      <c r="J582" s="190"/>
      <c r="K582" s="190"/>
      <c r="L582" s="189"/>
      <c r="M582" s="189"/>
      <c r="N582" s="189"/>
      <c r="O582" s="190"/>
      <c r="P582" s="190"/>
      <c r="Q582" s="189"/>
      <c r="R582" s="190"/>
      <c r="S582" s="190"/>
      <c r="T582" s="190"/>
      <c r="U582" s="190"/>
      <c r="V582" s="196"/>
    </row>
    <row r="583" spans="1:22">
      <c r="A583" s="191"/>
      <c r="B583" s="192"/>
      <c r="C583" s="193"/>
      <c r="D583" s="194"/>
      <c r="E583" s="194"/>
      <c r="F583" s="194"/>
      <c r="G583" s="194"/>
      <c r="H583" s="194"/>
      <c r="I583" s="194"/>
      <c r="J583" s="195"/>
      <c r="K583" s="195"/>
      <c r="L583" s="194"/>
      <c r="M583" s="194"/>
      <c r="N583" s="194"/>
      <c r="O583" s="195"/>
      <c r="P583" s="195"/>
      <c r="Q583" s="194"/>
      <c r="R583" s="195"/>
      <c r="S583" s="195"/>
      <c r="T583" s="195"/>
      <c r="U583" s="195"/>
      <c r="V583" s="196"/>
    </row>
    <row r="584" spans="1:22">
      <c r="A584" s="191"/>
      <c r="B584" s="197"/>
      <c r="C584" s="198"/>
      <c r="D584" s="199"/>
      <c r="E584" s="199"/>
      <c r="F584" s="199"/>
      <c r="G584" s="199"/>
      <c r="H584" s="199"/>
      <c r="I584" s="199"/>
      <c r="J584" s="202"/>
      <c r="K584" s="202"/>
      <c r="L584" s="199"/>
      <c r="M584" s="199"/>
      <c r="N584" s="199"/>
      <c r="O584" s="202"/>
      <c r="P584" s="202"/>
      <c r="Q584" s="199"/>
      <c r="R584" s="202"/>
      <c r="S584" s="202"/>
      <c r="T584" s="202"/>
      <c r="U584" s="202"/>
      <c r="V584" s="196"/>
    </row>
    <row r="585" spans="1:22">
      <c r="A585" s="191"/>
      <c r="B585" s="168"/>
      <c r="C585" s="188"/>
      <c r="D585" s="189"/>
      <c r="E585" s="189"/>
      <c r="F585" s="189"/>
      <c r="G585" s="189"/>
      <c r="H585" s="189"/>
      <c r="I585" s="189"/>
      <c r="J585" s="190"/>
      <c r="K585" s="190"/>
      <c r="L585" s="189"/>
      <c r="M585" s="189"/>
      <c r="N585" s="189"/>
      <c r="O585" s="190"/>
      <c r="P585" s="190"/>
      <c r="Q585" s="189"/>
      <c r="R585" s="190"/>
      <c r="S585" s="190"/>
      <c r="T585" s="190"/>
      <c r="U585" s="190"/>
      <c r="V585" s="196"/>
    </row>
    <row r="586" spans="1:22">
      <c r="A586" s="191"/>
      <c r="B586" s="192"/>
      <c r="C586" s="193"/>
      <c r="D586" s="194"/>
      <c r="E586" s="194"/>
      <c r="F586" s="194"/>
      <c r="G586" s="194"/>
      <c r="H586" s="194"/>
      <c r="I586" s="194"/>
      <c r="J586" s="195"/>
      <c r="K586" s="195"/>
      <c r="L586" s="194"/>
      <c r="M586" s="194"/>
      <c r="N586" s="194"/>
      <c r="O586" s="195"/>
      <c r="P586" s="195"/>
      <c r="Q586" s="194"/>
      <c r="R586" s="195"/>
      <c r="S586" s="195"/>
      <c r="T586" s="195"/>
      <c r="U586" s="195"/>
      <c r="V586" s="196"/>
    </row>
    <row r="587" spans="1:22">
      <c r="A587" s="191"/>
      <c r="B587" s="197"/>
      <c r="C587" s="198"/>
      <c r="D587" s="199"/>
      <c r="E587" s="199"/>
      <c r="F587" s="199"/>
      <c r="G587" s="199"/>
      <c r="H587" s="199"/>
      <c r="I587" s="199"/>
      <c r="J587" s="202"/>
      <c r="K587" s="202"/>
      <c r="L587" s="199"/>
      <c r="M587" s="199"/>
      <c r="N587" s="199"/>
      <c r="O587" s="202"/>
      <c r="P587" s="202"/>
      <c r="Q587" s="199"/>
      <c r="R587" s="202"/>
      <c r="S587" s="202"/>
      <c r="T587" s="202"/>
      <c r="U587" s="202"/>
      <c r="V587" s="196"/>
    </row>
    <row r="588" spans="1:22">
      <c r="A588" s="191"/>
      <c r="B588" s="168"/>
      <c r="C588" s="188"/>
      <c r="D588" s="189"/>
      <c r="E588" s="189"/>
      <c r="F588" s="189"/>
      <c r="G588" s="189"/>
      <c r="H588" s="189"/>
      <c r="I588" s="189"/>
      <c r="J588" s="190"/>
      <c r="K588" s="190"/>
      <c r="L588" s="189"/>
      <c r="M588" s="189"/>
      <c r="N588" s="189"/>
      <c r="O588" s="190"/>
      <c r="P588" s="190"/>
      <c r="Q588" s="189"/>
      <c r="R588" s="190"/>
      <c r="S588" s="190"/>
      <c r="T588" s="190"/>
      <c r="U588" s="190"/>
      <c r="V588" s="196"/>
    </row>
    <row r="589" spans="1:22">
      <c r="A589" s="191"/>
      <c r="B589" s="192"/>
      <c r="C589" s="193"/>
      <c r="D589" s="194"/>
      <c r="E589" s="194"/>
      <c r="F589" s="194"/>
      <c r="G589" s="194"/>
      <c r="H589" s="194"/>
      <c r="I589" s="194"/>
      <c r="J589" s="195"/>
      <c r="K589" s="195"/>
      <c r="L589" s="194"/>
      <c r="M589" s="194"/>
      <c r="N589" s="194"/>
      <c r="O589" s="195"/>
      <c r="P589" s="195"/>
      <c r="Q589" s="194"/>
      <c r="R589" s="195"/>
      <c r="S589" s="195"/>
      <c r="T589" s="195"/>
      <c r="U589" s="195"/>
      <c r="V589" s="196"/>
    </row>
    <row r="590" spans="1:22">
      <c r="A590" s="191"/>
      <c r="B590" s="197"/>
      <c r="C590" s="198"/>
      <c r="D590" s="199"/>
      <c r="E590" s="199"/>
      <c r="F590" s="199"/>
      <c r="G590" s="199"/>
      <c r="H590" s="199"/>
      <c r="I590" s="199"/>
      <c r="J590" s="202"/>
      <c r="K590" s="202"/>
      <c r="L590" s="199"/>
      <c r="M590" s="199"/>
      <c r="N590" s="199"/>
      <c r="O590" s="202"/>
      <c r="P590" s="202"/>
      <c r="Q590" s="199"/>
      <c r="R590" s="202"/>
      <c r="S590" s="202"/>
      <c r="T590" s="202"/>
      <c r="U590" s="202"/>
      <c r="V590" s="196"/>
    </row>
    <row r="591" spans="1:22">
      <c r="A591" s="191"/>
      <c r="B591" s="168"/>
      <c r="C591" s="188"/>
      <c r="D591" s="189"/>
      <c r="E591" s="189"/>
      <c r="F591" s="189"/>
      <c r="G591" s="189"/>
      <c r="H591" s="189"/>
      <c r="I591" s="189"/>
      <c r="J591" s="190"/>
      <c r="K591" s="190"/>
      <c r="L591" s="189"/>
      <c r="M591" s="189"/>
      <c r="N591" s="189"/>
      <c r="O591" s="190"/>
      <c r="P591" s="190"/>
      <c r="Q591" s="189"/>
      <c r="R591" s="190"/>
      <c r="S591" s="190"/>
      <c r="T591" s="190"/>
      <c r="U591" s="190"/>
      <c r="V591" s="196"/>
    </row>
    <row r="592" spans="1:22">
      <c r="A592" s="191"/>
      <c r="B592" s="192"/>
      <c r="C592" s="193"/>
      <c r="D592" s="194"/>
      <c r="E592" s="194"/>
      <c r="F592" s="194"/>
      <c r="G592" s="194"/>
      <c r="H592" s="194"/>
      <c r="I592" s="194"/>
      <c r="J592" s="195"/>
      <c r="K592" s="195"/>
      <c r="L592" s="194"/>
      <c r="M592" s="194"/>
      <c r="N592" s="194"/>
      <c r="O592" s="195"/>
      <c r="P592" s="195"/>
      <c r="Q592" s="194"/>
      <c r="R592" s="195"/>
      <c r="S592" s="195"/>
      <c r="T592" s="195"/>
      <c r="U592" s="195"/>
      <c r="V592" s="196"/>
    </row>
    <row r="593" spans="1:22">
      <c r="A593" s="191"/>
      <c r="B593" s="197"/>
      <c r="C593" s="198"/>
      <c r="D593" s="199"/>
      <c r="E593" s="199"/>
      <c r="F593" s="199"/>
      <c r="G593" s="199"/>
      <c r="H593" s="199"/>
      <c r="I593" s="199"/>
      <c r="J593" s="202"/>
      <c r="K593" s="202"/>
      <c r="L593" s="199"/>
      <c r="M593" s="199"/>
      <c r="N593" s="199"/>
      <c r="O593" s="202"/>
      <c r="P593" s="202"/>
      <c r="Q593" s="199"/>
      <c r="R593" s="202"/>
      <c r="S593" s="202"/>
      <c r="T593" s="202"/>
      <c r="U593" s="202"/>
      <c r="V593" s="196"/>
    </row>
    <row r="594" spans="1:22">
      <c r="A594" s="191"/>
      <c r="B594" s="168"/>
      <c r="C594" s="188"/>
      <c r="D594" s="189"/>
      <c r="E594" s="189"/>
      <c r="F594" s="189"/>
      <c r="G594" s="189"/>
      <c r="H594" s="189"/>
      <c r="I594" s="189"/>
      <c r="J594" s="190"/>
      <c r="K594" s="190"/>
      <c r="L594" s="189"/>
      <c r="M594" s="189"/>
      <c r="N594" s="189"/>
      <c r="O594" s="190"/>
      <c r="P594" s="190"/>
      <c r="Q594" s="189"/>
      <c r="R594" s="190"/>
      <c r="S594" s="190"/>
      <c r="T594" s="190"/>
      <c r="U594" s="190"/>
      <c r="V594" s="196"/>
    </row>
    <row r="595" spans="1:22">
      <c r="A595" s="191"/>
      <c r="B595" s="192"/>
      <c r="C595" s="193"/>
      <c r="D595" s="194"/>
      <c r="E595" s="194"/>
      <c r="F595" s="194"/>
      <c r="G595" s="194"/>
      <c r="H595" s="194"/>
      <c r="I595" s="194"/>
      <c r="J595" s="195"/>
      <c r="K595" s="195"/>
      <c r="L595" s="194"/>
      <c r="M595" s="194"/>
      <c r="N595" s="194"/>
      <c r="O595" s="195"/>
      <c r="P595" s="195"/>
      <c r="Q595" s="194"/>
      <c r="R595" s="195"/>
      <c r="S595" s="195"/>
      <c r="T595" s="195"/>
      <c r="U595" s="195"/>
      <c r="V595" s="196"/>
    </row>
    <row r="596" spans="1:22">
      <c r="A596" s="191"/>
      <c r="B596" s="197"/>
      <c r="C596" s="198"/>
      <c r="D596" s="199"/>
      <c r="E596" s="199"/>
      <c r="F596" s="199"/>
      <c r="G596" s="199"/>
      <c r="H596" s="199"/>
      <c r="I596" s="199"/>
      <c r="J596" s="202"/>
      <c r="K596" s="202"/>
      <c r="L596" s="199"/>
      <c r="M596" s="199"/>
      <c r="N596" s="199"/>
      <c r="O596" s="202"/>
      <c r="P596" s="202"/>
      <c r="Q596" s="199"/>
      <c r="R596" s="202"/>
      <c r="S596" s="202"/>
      <c r="T596" s="202"/>
      <c r="U596" s="202"/>
      <c r="V596" s="196"/>
    </row>
    <row r="597" spans="1:22">
      <c r="A597" s="191"/>
      <c r="B597" s="168"/>
      <c r="C597" s="188"/>
      <c r="D597" s="189"/>
      <c r="E597" s="189"/>
      <c r="F597" s="189"/>
      <c r="G597" s="189"/>
      <c r="H597" s="189"/>
      <c r="I597" s="189"/>
      <c r="J597" s="190"/>
      <c r="K597" s="190"/>
      <c r="L597" s="189"/>
      <c r="M597" s="189"/>
      <c r="N597" s="189"/>
      <c r="O597" s="190"/>
      <c r="P597" s="190"/>
      <c r="Q597" s="189"/>
      <c r="R597" s="190"/>
      <c r="S597" s="190"/>
      <c r="T597" s="190"/>
      <c r="U597" s="190"/>
      <c r="V597" s="196"/>
    </row>
    <row r="598" spans="1:22">
      <c r="A598" s="191"/>
      <c r="B598" s="192"/>
      <c r="C598" s="193"/>
      <c r="D598" s="194"/>
      <c r="E598" s="194"/>
      <c r="F598" s="194"/>
      <c r="G598" s="194"/>
      <c r="H598" s="194"/>
      <c r="I598" s="194"/>
      <c r="J598" s="195"/>
      <c r="K598" s="195"/>
      <c r="L598" s="194"/>
      <c r="M598" s="194"/>
      <c r="N598" s="194"/>
      <c r="O598" s="195"/>
      <c r="P598" s="195"/>
      <c r="Q598" s="194"/>
      <c r="R598" s="195"/>
      <c r="S598" s="195"/>
      <c r="T598" s="195"/>
      <c r="U598" s="195"/>
      <c r="V598" s="196"/>
    </row>
    <row r="599" spans="1:22" ht="15.75" thickBot="1">
      <c r="A599" s="191"/>
      <c r="B599" s="206"/>
      <c r="C599" s="207"/>
      <c r="D599" s="208"/>
      <c r="E599" s="208"/>
      <c r="F599" s="208"/>
      <c r="G599" s="208"/>
      <c r="H599" s="208"/>
      <c r="I599" s="208"/>
      <c r="J599" s="209"/>
      <c r="K599" s="209"/>
      <c r="L599" s="208"/>
      <c r="M599" s="208"/>
      <c r="N599" s="208"/>
      <c r="O599" s="209"/>
      <c r="P599" s="209"/>
      <c r="Q599" s="208"/>
      <c r="R599" s="209"/>
      <c r="S599" s="209"/>
      <c r="T599" s="209"/>
      <c r="U599" s="209"/>
      <c r="V599" s="196"/>
    </row>
    <row r="600" spans="1:22" ht="15.75" thickTop="1">
      <c r="A600" s="191"/>
      <c r="B600" s="192"/>
      <c r="C600" s="193"/>
      <c r="D600" s="194"/>
      <c r="E600" s="194"/>
      <c r="F600" s="194"/>
      <c r="G600" s="194"/>
      <c r="H600" s="194"/>
      <c r="I600" s="194"/>
      <c r="J600" s="195"/>
      <c r="K600" s="195"/>
      <c r="L600" s="194"/>
      <c r="M600" s="194"/>
      <c r="N600" s="194"/>
      <c r="O600" s="195"/>
      <c r="P600" s="195"/>
      <c r="Q600" s="194"/>
      <c r="R600" s="195"/>
      <c r="S600" s="195"/>
      <c r="T600" s="195"/>
      <c r="U600" s="195"/>
      <c r="V600" s="196"/>
    </row>
    <row r="601" spans="1:22">
      <c r="A601" s="191"/>
      <c r="B601" s="192"/>
      <c r="C601" s="193"/>
      <c r="D601" s="194"/>
      <c r="E601" s="194"/>
      <c r="F601" s="194"/>
      <c r="G601" s="194"/>
      <c r="H601" s="194"/>
      <c r="I601" s="194"/>
      <c r="J601" s="195"/>
      <c r="K601" s="195"/>
      <c r="L601" s="194"/>
      <c r="M601" s="194"/>
      <c r="N601" s="194"/>
      <c r="O601" s="195"/>
      <c r="P601" s="195"/>
      <c r="Q601" s="194"/>
      <c r="R601" s="195"/>
      <c r="S601" s="195"/>
      <c r="T601" s="195"/>
      <c r="U601" s="195"/>
      <c r="V601" s="196"/>
    </row>
    <row r="602" spans="1:22">
      <c r="A602" s="191"/>
      <c r="B602" s="197"/>
      <c r="C602" s="198"/>
      <c r="D602" s="199"/>
      <c r="E602" s="199"/>
      <c r="F602" s="199"/>
      <c r="G602" s="199"/>
      <c r="H602" s="199"/>
      <c r="I602" s="199"/>
      <c r="J602" s="202"/>
      <c r="K602" s="202"/>
      <c r="L602" s="199"/>
      <c r="M602" s="199"/>
      <c r="N602" s="199"/>
      <c r="O602" s="202"/>
      <c r="P602" s="202"/>
      <c r="Q602" s="199"/>
      <c r="R602" s="202"/>
      <c r="S602" s="202"/>
      <c r="T602" s="202"/>
      <c r="U602" s="202"/>
      <c r="V602" s="196"/>
    </row>
    <row r="603" spans="1:22">
      <c r="A603" s="191"/>
      <c r="B603" s="168"/>
      <c r="C603" s="188"/>
      <c r="D603" s="189"/>
      <c r="E603" s="189"/>
      <c r="F603" s="189"/>
      <c r="G603" s="189"/>
      <c r="H603" s="189"/>
      <c r="I603" s="189"/>
      <c r="J603" s="190"/>
      <c r="K603" s="190"/>
      <c r="L603" s="189"/>
      <c r="M603" s="189"/>
      <c r="N603" s="189"/>
      <c r="O603" s="190"/>
      <c r="P603" s="190"/>
      <c r="Q603" s="189"/>
      <c r="R603" s="190"/>
      <c r="S603" s="190"/>
      <c r="T603" s="190"/>
      <c r="U603" s="190"/>
      <c r="V603" s="196"/>
    </row>
    <row r="604" spans="1:22">
      <c r="A604" s="191"/>
      <c r="B604" s="192"/>
      <c r="C604" s="193"/>
      <c r="D604" s="194"/>
      <c r="E604" s="194"/>
      <c r="F604" s="194"/>
      <c r="G604" s="194"/>
      <c r="H604" s="194"/>
      <c r="I604" s="194"/>
      <c r="J604" s="195"/>
      <c r="K604" s="195"/>
      <c r="L604" s="194"/>
      <c r="M604" s="194"/>
      <c r="N604" s="194"/>
      <c r="O604" s="195"/>
      <c r="P604" s="195"/>
      <c r="Q604" s="194"/>
      <c r="R604" s="195"/>
      <c r="S604" s="195"/>
      <c r="T604" s="195"/>
      <c r="U604" s="195"/>
      <c r="V604" s="196"/>
    </row>
    <row r="605" spans="1:22">
      <c r="A605" s="191"/>
      <c r="B605" s="197"/>
      <c r="C605" s="198"/>
      <c r="D605" s="199"/>
      <c r="E605" s="199"/>
      <c r="F605" s="199"/>
      <c r="G605" s="199"/>
      <c r="H605" s="199"/>
      <c r="I605" s="199"/>
      <c r="J605" s="202"/>
      <c r="K605" s="202"/>
      <c r="L605" s="199"/>
      <c r="M605" s="199"/>
      <c r="N605" s="199"/>
      <c r="O605" s="202"/>
      <c r="P605" s="202"/>
      <c r="Q605" s="199"/>
      <c r="R605" s="202"/>
      <c r="S605" s="202"/>
      <c r="T605" s="202"/>
      <c r="U605" s="202"/>
      <c r="V605" s="196"/>
    </row>
    <row r="606" spans="1:22">
      <c r="A606" s="191"/>
      <c r="B606" s="168"/>
      <c r="C606" s="188"/>
      <c r="D606" s="189"/>
      <c r="E606" s="189"/>
      <c r="F606" s="189"/>
      <c r="G606" s="189"/>
      <c r="H606" s="189"/>
      <c r="I606" s="189"/>
      <c r="J606" s="190"/>
      <c r="K606" s="190"/>
      <c r="L606" s="189"/>
      <c r="M606" s="189"/>
      <c r="N606" s="189"/>
      <c r="O606" s="190"/>
      <c r="P606" s="190"/>
      <c r="Q606" s="189"/>
      <c r="R606" s="190"/>
      <c r="S606" s="190"/>
      <c r="T606" s="190"/>
      <c r="U606" s="190"/>
      <c r="V606" s="196"/>
    </row>
    <row r="607" spans="1:22">
      <c r="A607" s="191"/>
      <c r="B607" s="192"/>
      <c r="C607" s="193"/>
      <c r="D607" s="194"/>
      <c r="E607" s="194"/>
      <c r="F607" s="194"/>
      <c r="G607" s="194"/>
      <c r="H607" s="194"/>
      <c r="I607" s="194"/>
      <c r="J607" s="195"/>
      <c r="K607" s="195"/>
      <c r="L607" s="194"/>
      <c r="M607" s="194"/>
      <c r="N607" s="194"/>
      <c r="O607" s="195"/>
      <c r="P607" s="195"/>
      <c r="Q607" s="194"/>
      <c r="R607" s="195"/>
      <c r="S607" s="195"/>
      <c r="T607" s="195"/>
      <c r="U607" s="195"/>
      <c r="V607" s="196"/>
    </row>
    <row r="608" spans="1:22">
      <c r="A608" s="191"/>
      <c r="B608" s="197"/>
      <c r="C608" s="198"/>
      <c r="D608" s="199"/>
      <c r="E608" s="199"/>
      <c r="F608" s="199"/>
      <c r="G608" s="199"/>
      <c r="H608" s="199"/>
      <c r="I608" s="199"/>
      <c r="J608" s="202"/>
      <c r="K608" s="202"/>
      <c r="L608" s="199"/>
      <c r="M608" s="199"/>
      <c r="N608" s="199"/>
      <c r="O608" s="202"/>
      <c r="P608" s="202"/>
      <c r="Q608" s="199"/>
      <c r="R608" s="202"/>
      <c r="S608" s="202"/>
      <c r="T608" s="202"/>
      <c r="U608" s="202"/>
      <c r="V608" s="196"/>
    </row>
    <row r="609" spans="1:22">
      <c r="A609" s="191"/>
      <c r="B609" s="168"/>
      <c r="C609" s="188"/>
      <c r="D609" s="189"/>
      <c r="E609" s="189"/>
      <c r="F609" s="189"/>
      <c r="G609" s="189"/>
      <c r="H609" s="189"/>
      <c r="I609" s="189"/>
      <c r="J609" s="190"/>
      <c r="K609" s="190"/>
      <c r="L609" s="189"/>
      <c r="M609" s="189"/>
      <c r="N609" s="189"/>
      <c r="O609" s="190"/>
      <c r="P609" s="190"/>
      <c r="Q609" s="189"/>
      <c r="R609" s="190"/>
      <c r="S609" s="190"/>
      <c r="T609" s="190"/>
      <c r="U609" s="190"/>
      <c r="V609" s="196"/>
    </row>
    <row r="610" spans="1:22">
      <c r="A610" s="191"/>
      <c r="B610" s="192"/>
      <c r="C610" s="193"/>
      <c r="D610" s="194"/>
      <c r="E610" s="194"/>
      <c r="F610" s="194"/>
      <c r="G610" s="194"/>
      <c r="H610" s="194"/>
      <c r="I610" s="194"/>
      <c r="J610" s="195"/>
      <c r="K610" s="195"/>
      <c r="L610" s="194"/>
      <c r="M610" s="194"/>
      <c r="N610" s="194"/>
      <c r="O610" s="195"/>
      <c r="P610" s="195"/>
      <c r="Q610" s="194"/>
      <c r="R610" s="195"/>
      <c r="S610" s="195"/>
      <c r="T610" s="195"/>
      <c r="U610" s="195"/>
      <c r="V610" s="196"/>
    </row>
    <row r="611" spans="1:22">
      <c r="A611" s="191"/>
      <c r="B611" s="197"/>
      <c r="C611" s="198"/>
      <c r="D611" s="199"/>
      <c r="E611" s="199"/>
      <c r="F611" s="199"/>
      <c r="G611" s="199"/>
      <c r="H611" s="199"/>
      <c r="I611" s="199"/>
      <c r="J611" s="202"/>
      <c r="K611" s="202"/>
      <c r="L611" s="199"/>
      <c r="M611" s="199"/>
      <c r="N611" s="199"/>
      <c r="O611" s="202"/>
      <c r="P611" s="202"/>
      <c r="Q611" s="199"/>
      <c r="R611" s="202"/>
      <c r="S611" s="202"/>
      <c r="T611" s="202"/>
      <c r="U611" s="202"/>
      <c r="V611" s="196"/>
    </row>
    <row r="612" spans="1:22">
      <c r="A612" s="191"/>
      <c r="B612" s="168"/>
      <c r="C612" s="188"/>
      <c r="D612" s="189"/>
      <c r="E612" s="189"/>
      <c r="F612" s="189"/>
      <c r="G612" s="189"/>
      <c r="H612" s="189"/>
      <c r="I612" s="189"/>
      <c r="J612" s="190"/>
      <c r="K612" s="190"/>
      <c r="L612" s="189"/>
      <c r="M612" s="189"/>
      <c r="N612" s="189"/>
      <c r="O612" s="190"/>
      <c r="P612" s="190"/>
      <c r="Q612" s="189"/>
      <c r="R612" s="190"/>
      <c r="S612" s="190"/>
      <c r="T612" s="190"/>
      <c r="U612" s="190"/>
      <c r="V612" s="196"/>
    </row>
    <row r="613" spans="1:22">
      <c r="A613" s="191"/>
      <c r="B613" s="192"/>
      <c r="C613" s="193"/>
      <c r="D613" s="194"/>
      <c r="E613" s="194"/>
      <c r="F613" s="194"/>
      <c r="G613" s="194"/>
      <c r="H613" s="194"/>
      <c r="I613" s="194"/>
      <c r="J613" s="195"/>
      <c r="K613" s="195"/>
      <c r="L613" s="194"/>
      <c r="M613" s="194"/>
      <c r="N613" s="194"/>
      <c r="O613" s="195"/>
      <c r="P613" s="195"/>
      <c r="Q613" s="194"/>
      <c r="R613" s="195"/>
      <c r="S613" s="195"/>
      <c r="T613" s="195"/>
      <c r="U613" s="195"/>
      <c r="V613" s="196"/>
    </row>
    <row r="614" spans="1:22">
      <c r="A614" s="191"/>
      <c r="B614" s="197"/>
      <c r="C614" s="198"/>
      <c r="D614" s="199"/>
      <c r="E614" s="199"/>
      <c r="F614" s="199"/>
      <c r="G614" s="199"/>
      <c r="H614" s="199"/>
      <c r="I614" s="199"/>
      <c r="J614" s="202"/>
      <c r="K614" s="202"/>
      <c r="L614" s="199"/>
      <c r="M614" s="199"/>
      <c r="N614" s="199"/>
      <c r="O614" s="202"/>
      <c r="P614" s="202"/>
      <c r="Q614" s="199"/>
      <c r="R614" s="202"/>
      <c r="S614" s="202"/>
      <c r="T614" s="202"/>
      <c r="U614" s="202"/>
      <c r="V614" s="196"/>
    </row>
    <row r="615" spans="1:22">
      <c r="A615" s="191"/>
      <c r="B615" s="168"/>
      <c r="C615" s="188"/>
      <c r="D615" s="189"/>
      <c r="E615" s="189"/>
      <c r="F615" s="189"/>
      <c r="G615" s="189"/>
      <c r="H615" s="189"/>
      <c r="I615" s="189"/>
      <c r="J615" s="190"/>
      <c r="K615" s="190"/>
      <c r="L615" s="189"/>
      <c r="M615" s="189"/>
      <c r="N615" s="189"/>
      <c r="O615" s="190"/>
      <c r="P615" s="190"/>
      <c r="Q615" s="189"/>
      <c r="R615" s="190"/>
      <c r="S615" s="190"/>
      <c r="T615" s="190"/>
      <c r="U615" s="190"/>
      <c r="V615" s="196"/>
    </row>
    <row r="616" spans="1:22">
      <c r="A616" s="191"/>
      <c r="B616" s="192"/>
      <c r="C616" s="193"/>
      <c r="D616" s="194"/>
      <c r="E616" s="194"/>
      <c r="F616" s="194"/>
      <c r="G616" s="194"/>
      <c r="H616" s="194"/>
      <c r="I616" s="194"/>
      <c r="J616" s="195"/>
      <c r="K616" s="195"/>
      <c r="L616" s="194"/>
      <c r="M616" s="194"/>
      <c r="N616" s="194"/>
      <c r="O616" s="195"/>
      <c r="P616" s="195"/>
      <c r="Q616" s="194"/>
      <c r="R616" s="195"/>
      <c r="S616" s="195"/>
      <c r="T616" s="195"/>
      <c r="U616" s="195"/>
      <c r="V616" s="196"/>
    </row>
    <row r="617" spans="1:22">
      <c r="A617" s="220"/>
      <c r="B617" s="197"/>
      <c r="C617" s="198"/>
      <c r="D617" s="199"/>
      <c r="E617" s="199"/>
      <c r="F617" s="199"/>
      <c r="G617" s="199"/>
      <c r="H617" s="199"/>
      <c r="I617" s="199"/>
      <c r="J617" s="202"/>
      <c r="K617" s="202"/>
      <c r="L617" s="199"/>
      <c r="M617" s="199"/>
      <c r="N617" s="199"/>
      <c r="O617" s="202"/>
      <c r="P617" s="202"/>
      <c r="Q617" s="199"/>
      <c r="R617" s="202"/>
      <c r="S617" s="202"/>
      <c r="T617" s="202"/>
      <c r="U617" s="202"/>
      <c r="V617" s="19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3213-1D4C-4F0B-B105-DC4FC802B970}">
  <sheetPr>
    <tabColor theme="4" tint="0.39997558519241921"/>
  </sheetPr>
  <dimension ref="A1:AG83"/>
  <sheetViews>
    <sheetView topLeftCell="A4" workbookViewId="0">
      <selection activeCell="K26" sqref="K26"/>
    </sheetView>
  </sheetViews>
  <sheetFormatPr defaultRowHeight="15"/>
  <cols>
    <col min="1" max="1" width="11.77734375" style="269" customWidth="1"/>
    <col min="2" max="9" width="10" bestFit="1" customWidth="1"/>
    <col min="10" max="15" width="9.21875" customWidth="1"/>
    <col min="16" max="17" width="11" bestFit="1" customWidth="1"/>
    <col min="18" max="18" width="11.5546875" customWidth="1"/>
    <col min="19" max="19" width="10" bestFit="1" customWidth="1"/>
    <col min="20" max="21" width="11" bestFit="1" customWidth="1"/>
    <col min="22" max="23" width="10" bestFit="1" customWidth="1"/>
    <col min="24" max="25" width="9.21875" customWidth="1"/>
    <col min="26" max="27" width="11" bestFit="1" customWidth="1"/>
    <col min="28" max="29" width="10" bestFit="1" customWidth="1"/>
    <col min="30" max="31" width="9.21875" customWidth="1"/>
    <col min="32" max="33" width="10" bestFit="1" customWidth="1"/>
  </cols>
  <sheetData>
    <row r="1" spans="1:33">
      <c r="A1" s="268" t="s">
        <v>820</v>
      </c>
    </row>
    <row r="2" spans="1:33">
      <c r="B2" s="270" t="s">
        <v>821</v>
      </c>
      <c r="C2" s="271"/>
      <c r="D2" s="271"/>
      <c r="E2" s="271"/>
      <c r="F2" s="271"/>
      <c r="G2" s="271"/>
      <c r="H2" s="271"/>
      <c r="I2" s="271"/>
      <c r="J2" s="271"/>
      <c r="K2" s="271"/>
      <c r="L2" s="271"/>
      <c r="M2" s="271"/>
      <c r="N2" s="271"/>
      <c r="O2" s="271"/>
      <c r="P2" s="271"/>
      <c r="Q2" s="271"/>
      <c r="R2" s="272" t="s">
        <v>822</v>
      </c>
      <c r="S2" s="273"/>
      <c r="T2" s="273"/>
      <c r="U2" s="273"/>
      <c r="V2" s="273"/>
      <c r="W2" s="273"/>
      <c r="X2" s="273"/>
      <c r="Y2" s="273"/>
      <c r="Z2" s="273"/>
      <c r="AA2" s="273"/>
      <c r="AB2" s="274" t="s">
        <v>823</v>
      </c>
      <c r="AC2" s="275"/>
      <c r="AD2" s="275"/>
      <c r="AE2" s="275"/>
      <c r="AF2" s="275"/>
      <c r="AG2" s="275"/>
    </row>
    <row r="3" spans="1:33">
      <c r="B3" s="276">
        <v>1</v>
      </c>
      <c r="C3" s="277"/>
      <c r="D3" s="276">
        <v>2</v>
      </c>
      <c r="E3" s="277"/>
      <c r="F3" s="276">
        <v>3</v>
      </c>
      <c r="G3" s="277"/>
      <c r="H3" s="276">
        <v>4</v>
      </c>
      <c r="I3" s="277"/>
      <c r="J3" s="276">
        <v>5</v>
      </c>
      <c r="K3" s="277"/>
      <c r="L3" s="276">
        <v>6</v>
      </c>
      <c r="M3" s="277"/>
      <c r="N3" s="276">
        <v>15</v>
      </c>
      <c r="O3" s="277"/>
      <c r="P3" s="276" t="s">
        <v>824</v>
      </c>
      <c r="Q3" s="278"/>
      <c r="R3" s="279">
        <v>7</v>
      </c>
      <c r="S3" s="280"/>
      <c r="T3" s="279">
        <v>8</v>
      </c>
      <c r="U3" s="280"/>
      <c r="V3" s="279">
        <v>9</v>
      </c>
      <c r="W3" s="280"/>
      <c r="X3" s="279">
        <v>10</v>
      </c>
      <c r="Y3" s="280"/>
      <c r="Z3" s="279" t="s">
        <v>824</v>
      </c>
      <c r="AA3" s="280"/>
      <c r="AB3" s="281">
        <v>12</v>
      </c>
      <c r="AC3" s="282"/>
      <c r="AD3" s="281">
        <v>13</v>
      </c>
      <c r="AE3" s="282"/>
      <c r="AF3" s="281" t="s">
        <v>824</v>
      </c>
      <c r="AG3" s="282"/>
    </row>
    <row r="4" spans="1:33" s="289" customFormat="1">
      <c r="A4" s="283"/>
      <c r="B4" s="284">
        <v>2014</v>
      </c>
      <c r="C4" s="285">
        <v>2015</v>
      </c>
      <c r="D4" s="284">
        <v>2014</v>
      </c>
      <c r="E4" s="285">
        <v>2015</v>
      </c>
      <c r="F4" s="284">
        <v>2014</v>
      </c>
      <c r="G4" s="285">
        <v>2015</v>
      </c>
      <c r="H4" s="284">
        <v>2014</v>
      </c>
      <c r="I4" s="285">
        <v>2015</v>
      </c>
      <c r="J4" s="284">
        <v>2014</v>
      </c>
      <c r="K4" s="285">
        <v>2015</v>
      </c>
      <c r="L4" s="284">
        <v>2014</v>
      </c>
      <c r="M4" s="285">
        <v>2015</v>
      </c>
      <c r="N4" s="284">
        <v>2014</v>
      </c>
      <c r="O4" s="285">
        <v>2015</v>
      </c>
      <c r="P4" s="284">
        <v>2014</v>
      </c>
      <c r="Q4" s="285">
        <v>2015</v>
      </c>
      <c r="R4" s="286">
        <v>2014</v>
      </c>
      <c r="S4" s="287">
        <v>2015</v>
      </c>
      <c r="T4" s="286">
        <v>2014</v>
      </c>
      <c r="U4" s="287">
        <v>2015</v>
      </c>
      <c r="V4" s="286">
        <v>2014</v>
      </c>
      <c r="W4" s="287">
        <v>2015</v>
      </c>
      <c r="X4" s="286">
        <v>2014</v>
      </c>
      <c r="Y4" s="287">
        <v>2015</v>
      </c>
      <c r="Z4" s="286">
        <v>2014</v>
      </c>
      <c r="AA4" s="287">
        <v>2015</v>
      </c>
      <c r="AB4" s="286">
        <v>2014</v>
      </c>
      <c r="AC4" s="288">
        <v>2015</v>
      </c>
      <c r="AD4" s="286">
        <v>2014</v>
      </c>
      <c r="AE4" s="288">
        <v>2015</v>
      </c>
      <c r="AF4" s="286">
        <v>2014</v>
      </c>
      <c r="AG4" s="288">
        <v>2015</v>
      </c>
    </row>
    <row r="5" spans="1:33">
      <c r="A5" s="269" t="s">
        <v>825</v>
      </c>
      <c r="B5" s="256">
        <f>GETPIVOTDATA("Sum of OLD-Tot UG SCH Calc",'Pivot Table for Fact Book'!$A$3,"State","AL","type",1,"Type2","Four-Year")</f>
        <v>1918708</v>
      </c>
      <c r="C5" s="257">
        <f>GETPIVOTDATA("Sum of NEW-Tot UG SCH Calc",'Pivot Table for Fact Book'!$A$3,"State","AL","type",1,"Type2","Four-Year")</f>
        <v>1976886</v>
      </c>
      <c r="D5" s="256">
        <f>GETPIVOTDATA("Sum of OLD-Tot UG SCH Calc",'Pivot Table for Fact Book'!$A$3,"State","AL","type",2,"Type2","Four-Year")</f>
        <v>467538</v>
      </c>
      <c r="E5" s="257">
        <f>GETPIVOTDATA("Sum of NEW-Tot UG SCH Calc",'Pivot Table for Fact Book'!$A$3,"State","AL","type",2,"Type2","Four-Year")</f>
        <v>466959</v>
      </c>
      <c r="F5" s="256">
        <f>GETPIVOTDATA("Sum of OLD-Tot UG SCH Calc",'Pivot Table for Fact Book'!$A$3,"State","AL","type",3,"Type2","Four-Year")</f>
        <v>761629</v>
      </c>
      <c r="G5" s="257">
        <f>GETPIVOTDATA("Sum of NEW-Tot UG SCH Calc",'Pivot Table for Fact Book'!$A$3,"State","AL","type",3,"Type2","Four-Year")</f>
        <v>780241</v>
      </c>
      <c r="H5" s="256">
        <f>GETPIVOTDATA("Sum of OLD-Tot UG SCH Calc",'Pivot Table for Fact Book'!$A$3,"State","AL","type",4,"Type2","Four-Year")</f>
        <v>245438</v>
      </c>
      <c r="I5" s="257">
        <f>GETPIVOTDATA("Sum of NEW-Tot UG SCH Calc",'Pivot Table for Fact Book'!$A$3,"State","AL","type",4,"Type2","Four-Year")</f>
        <v>237430</v>
      </c>
      <c r="J5" s="256">
        <f>GETPIVOTDATA("Sum of OLD-Tot UG SCH Calc",'Pivot Table for Fact Book'!$A$3,"State","AL","type",5,"Type2","Four-Year")</f>
        <v>122561</v>
      </c>
      <c r="K5" s="257">
        <f>GETPIVOTDATA("Sum of NEW-Tot UG SCH Calc",'Pivot Table for Fact Book'!$A$3,"State","AL","type",5,"Type2","Four-Year")</f>
        <v>124912</v>
      </c>
      <c r="L5" s="256">
        <f>GETPIVOTDATA("Sum of OLD-Tot UG SCH Calc",'Pivot Table for Fact Book'!$A$3,"State","AL","type",6,"Type2","Four-Year")</f>
        <v>67015</v>
      </c>
      <c r="M5" s="257">
        <f>GETPIVOTDATA("Sum of NEW-Tot UG SCH Calc",'Pivot Table for Fact Book'!$A$3,"State","AL","type",6,"Type2","Four-Year")</f>
        <v>65486</v>
      </c>
      <c r="N5" s="256">
        <f>GETPIVOTDATA("Sum of OLD-Tot UG SCH Calc",'Pivot Table for Fact Book'!$A$3,"State","AL","type",15,"Type2","Four-Year")</f>
        <v>13899</v>
      </c>
      <c r="O5" s="257">
        <f>GETPIVOTDATA("Sum of NEW-Tot UG SCH Calc",'Pivot Table for Fact Book'!$A$3,"State","AL","type",15,"Type2","Four-Year")</f>
        <v>13456</v>
      </c>
      <c r="P5" s="258">
        <f>GETPIVOTDATA("Sum of OLD-Tot UG SCH Calc",'Pivot Table for Fact Book'!$A$3,"State","AL","Type2","Four-Year")</f>
        <v>3596788</v>
      </c>
      <c r="Q5" s="258">
        <f>GETPIVOTDATA("Sum of NEW-Tot UG SCH Calc",'Pivot Table for Fact Book'!$A$3,"State","AL","Type2","Four-Year")</f>
        <v>3665370</v>
      </c>
      <c r="R5" s="256">
        <f>GETPIVOTDATA("Sum of OLD-Tot UG SCH Calc",'Pivot Table for Fact Book'!$A$3,"State","AL","type",7,"Type2","Two-Year")</f>
        <v>0</v>
      </c>
      <c r="S5" s="257">
        <f>GETPIVOTDATA("Sum of NEW-Tot UG SCH Calc",'Pivot Table for Fact Book'!$A$3,"State","AL","type",7,"Type2","Two-Year")</f>
        <v>0</v>
      </c>
      <c r="T5" s="257">
        <f>GETPIVOTDATA("Sum of OLD-Tot UG SCH Calc",'Pivot Table for Fact Book'!$A$3,"State","AL","type",8,"Type2","Two-Year")</f>
        <v>367422</v>
      </c>
      <c r="U5" s="257">
        <f>GETPIVOTDATA("Sum of NEW-Tot UG SCH Calc",'Pivot Table for Fact Book'!$A$3,"State","AL","type",8,"Type2","Two-Year")</f>
        <v>366758</v>
      </c>
      <c r="V5" s="257">
        <f>GETPIVOTDATA("Sum of OLD-Tot UG SCH Calc",'Pivot Table for Fact Book'!$A$3,"State","AL","type",9,"Type2","Two-Year")</f>
        <v>921499</v>
      </c>
      <c r="W5" s="257">
        <f>GETPIVOTDATA("Sum of NEW-Tot UG SCH Calc",'Pivot Table for Fact Book'!$A$3,"State","AL","type",9,"Type2","Two-Year")</f>
        <v>1016846</v>
      </c>
      <c r="X5" s="257">
        <f>GETPIVOTDATA("Sum of OLD-Tot UG SCH Calc",'Pivot Table for Fact Book'!$A$3,"State","AL","type",10,"Type2","Two-Year")</f>
        <v>342222</v>
      </c>
      <c r="Y5" s="257">
        <f>GETPIVOTDATA("Sum of NEW-Tot UG SCH Calc",'Pivot Table for Fact Book'!$A$3,"State","AL","type",10,"Type2","Two-Year")</f>
        <v>315161</v>
      </c>
      <c r="Z5" s="259">
        <f>GETPIVOTDATA("Sum of OLD-Tot UG SCH Calc",'Pivot Table for Fact Book'!$A$3,"State","AL","Type2","Two-Year")</f>
        <v>1631143</v>
      </c>
      <c r="AA5" s="259">
        <f>GETPIVOTDATA("Sum of NEW-Tot UG SCH Calc",'Pivot Table for Fact Book'!$A$3,"State","AL","Type2","Two-Year")</f>
        <v>1698765</v>
      </c>
      <c r="AB5" s="256">
        <f>+GETPIVOTDATA("Sum of OLD-Tot UG SCH Calc",'Pivot Table for Fact Book'!$A$3,"State","AL","type",12,"type2","Techncial")</f>
        <v>40249</v>
      </c>
      <c r="AC5" s="257">
        <f>+GETPIVOTDATA("Sum of NEW-Tot UG SCH Calc",'Pivot Table for Fact Book'!$A$3,"State","AL","type",12,"type2","Techncial")</f>
        <v>41951</v>
      </c>
      <c r="AD5" s="256">
        <f>+GETPIVOTDATA("Sum of OLD-Tot UG SCH Calc",'Pivot Table for Fact Book'!$A$3,"State","AL","type",13,"type2","Techncial")</f>
        <v>44558</v>
      </c>
      <c r="AE5" s="257">
        <f>+GETPIVOTDATA("Sum of NEW-Tot UG SCH Calc",'Pivot Table for Fact Book'!$A$3,"State","AL","type",13,"type2","Techncial")</f>
        <v>40961</v>
      </c>
      <c r="AF5" s="260">
        <f>+GETPIVOTDATA("Sum of OLD-Tot UG SCH Calc",'Pivot Table for Fact Book'!$A$3,"State","AL","type2","Techncial")</f>
        <v>84807</v>
      </c>
      <c r="AG5" s="261">
        <f>+GETPIVOTDATA("Sum of NEW-Tot UG SCH Calc",'Pivot Table for Fact Book'!$A$3,"State","AL","type2","Techncial")</f>
        <v>82912</v>
      </c>
    </row>
    <row r="6" spans="1:33">
      <c r="A6" s="269" t="s">
        <v>826</v>
      </c>
      <c r="B6" s="256">
        <f>GETPIVOTDATA("Sum of OLD-Tot UG SCH Calc",'Pivot Table for Fact Book'!$A$3,"State","AR","type",1,"Type2","Four-Year")</f>
        <v>648938</v>
      </c>
      <c r="C6" s="257">
        <f>GETPIVOTDATA("Sum of NEW-Tot UG SCH Calc",'Pivot Table for Fact Book'!$A$3,"State","AR","type",1,"Type2","Four-Year")</f>
        <v>658267</v>
      </c>
      <c r="D6" s="256">
        <f>GETPIVOTDATA("Sum of OLD-Tot UG SCH Calc",'Pivot Table for Fact Book'!$A$3,"State","AR","type",2,"Type2","Four-Year")</f>
        <v>205875</v>
      </c>
      <c r="E6" s="257">
        <f>GETPIVOTDATA("Sum of NEW-Tot UG SCH Calc",'Pivot Table for Fact Book'!$A$3,"State","AR","type",2,"Type2","Four-Year")</f>
        <v>203956</v>
      </c>
      <c r="F6" s="256">
        <f>GETPIVOTDATA("Sum of OLD-Tot UG SCH Calc",'Pivot Table for Fact Book'!$A$3,"State","AR","type",3,"Type2","Four-Year")</f>
        <v>759904</v>
      </c>
      <c r="G6" s="257">
        <f>GETPIVOTDATA("Sum of NEW-Tot UG SCH Calc",'Pivot Table for Fact Book'!$A$3,"State","AR","type",3,"Type2","Four-Year")</f>
        <v>766207</v>
      </c>
      <c r="H6" s="256">
        <f>GETPIVOTDATA("Sum of OLD-Tot UG SCH Calc",'Pivot Table for Fact Book'!$A$3,"State","AR","type",4,"Type2","Four-Year")</f>
        <v>178641</v>
      </c>
      <c r="I6" s="257">
        <f>GETPIVOTDATA("Sum of NEW-Tot UG SCH Calc",'Pivot Table for Fact Book'!$A$3,"State","AR","type",4,"Type2","Four-Year")</f>
        <v>179513</v>
      </c>
      <c r="J6" s="256">
        <f>GETPIVOTDATA("Sum of OLD-Tot UG SCH Calc",'Pivot Table for Fact Book'!$A$3,"State","AR","type",5,"Type2","Four-Year")</f>
        <v>74004</v>
      </c>
      <c r="K6" s="257">
        <f>GETPIVOTDATA("Sum of NEW-Tot UG SCH Calc",'Pivot Table for Fact Book'!$A$3,"State","AR","type",5,"Type2","Four-Year")</f>
        <v>78724</v>
      </c>
      <c r="L6" s="256">
        <f>GETPIVOTDATA("Sum of OLD-Tot UG SCH Calc",'Pivot Table for Fact Book'!$A$3,"State","AR","type",6,"Type2","Four-Year")</f>
        <v>231885</v>
      </c>
      <c r="M6" s="257">
        <f>GETPIVOTDATA("Sum of NEW-Tot UG SCH Calc",'Pivot Table for Fact Book'!$A$3,"State","AR","type",6,"Type2","Four-Year")</f>
        <v>230655</v>
      </c>
      <c r="N6" s="256">
        <f>GETPIVOTDATA("Sum of OLD-Tot UG SCH Calc",'Pivot Table for Fact Book'!$A$3,"State","AR","type",15,"Type2","Four-Year")</f>
        <v>18081</v>
      </c>
      <c r="O6" s="257">
        <f>GETPIVOTDATA("Sum of NEW-Tot UG SCH Calc",'Pivot Table for Fact Book'!$A$3,"State","AR","type",15,"Type2","Four-Year")</f>
        <v>17308</v>
      </c>
      <c r="P6" s="258">
        <f>GETPIVOTDATA("Sum of OLD-Tot UG SCH Calc",'Pivot Table for Fact Book'!$A$3,"State","AR","Type2","Four-Year")</f>
        <v>2117328</v>
      </c>
      <c r="Q6" s="258">
        <f>GETPIVOTDATA("Sum of NEW-Tot UG SCH Calc",'Pivot Table for Fact Book'!$A$3,"State","AR","Type2","Four-Year")</f>
        <v>2134630</v>
      </c>
      <c r="R6" s="256">
        <f>GETPIVOTDATA("Sum of OLD-Tot UG SCH Calc",'Pivot Table for Fact Book'!$A$3,"State","AR","type",7,"Type2","Two-Year")</f>
        <v>0</v>
      </c>
      <c r="S6" s="257">
        <f>GETPIVOTDATA("Sum of NEW-Tot UG SCH Calc",'Pivot Table for Fact Book'!$A$3,"State","AR","type",7,"Type2","Two-Year")</f>
        <v>0</v>
      </c>
      <c r="T6" s="257">
        <f>GETPIVOTDATA("Sum of OLD-Tot UG SCH Calc",'Pivot Table for Fact Book'!$A$3,"State","AR","type",8,"Type2","Two-Year")</f>
        <v>150029</v>
      </c>
      <c r="U6" s="257">
        <f>GETPIVOTDATA("Sum of NEW-Tot UG SCH Calc",'Pivot Table for Fact Book'!$A$3,"State","AR","type",8,"Type2","Two-Year")</f>
        <v>148520</v>
      </c>
      <c r="V6" s="257">
        <f>GETPIVOTDATA("Sum of OLD-Tot UG SCH Calc",'Pivot Table for Fact Book'!$A$3,"State","AR","type",9,"Type2","Two-Year")</f>
        <v>206948</v>
      </c>
      <c r="W6" s="257">
        <f>GETPIVOTDATA("Sum of NEW-Tot UG SCH Calc",'Pivot Table for Fact Book'!$A$3,"State","AR","type",9,"Type2","Two-Year")</f>
        <v>199404</v>
      </c>
      <c r="X6" s="257">
        <f>GETPIVOTDATA("Sum of OLD-Tot UG SCH Calc",'Pivot Table for Fact Book'!$A$3,"State","AR","type",10,"Type2","Two-Year")</f>
        <v>594102</v>
      </c>
      <c r="Y6" s="257">
        <f>GETPIVOTDATA("Sum of NEW-Tot UG SCH Calc",'Pivot Table for Fact Book'!$A$3,"State","AR","type",10,"Type2","Two-Year")</f>
        <v>601572</v>
      </c>
      <c r="Z6" s="259">
        <f>GETPIVOTDATA("Sum of OLD-Tot UG SCH Calc",'Pivot Table for Fact Book'!$A$3,"State","AR","Type2","Two-Year")</f>
        <v>951079</v>
      </c>
      <c r="AA6" s="259">
        <f>GETPIVOTDATA("Sum of NEW-Tot UG SCH Calc",'Pivot Table for Fact Book'!$A$3,"State","AR","Type2","Two-Year")</f>
        <v>949496</v>
      </c>
      <c r="AB6" s="256">
        <f>+GETPIVOTDATA("Sum of OLD-Tot UG SCH Calc",'Pivot Table for Fact Book'!$A$3,"State","AR","type",12,"type2","Techncial")</f>
        <v>0</v>
      </c>
      <c r="AC6" s="257">
        <f>+GETPIVOTDATA("Sum of NEW-Tot UG SCH Calc",'Pivot Table for Fact Book'!$A$3,"State","AR","type",12,"type2","Techncial")</f>
        <v>0</v>
      </c>
      <c r="AD6" s="256">
        <f>+GETPIVOTDATA("Sum of OLD-Tot UG SCH Calc",'Pivot Table for Fact Book'!$A$3,"State","AR","type",13,"type2","Techncial")</f>
        <v>0</v>
      </c>
      <c r="AE6" s="257">
        <f>+GETPIVOTDATA("Sum of NEW-Tot UG SCH Calc",'Pivot Table for Fact Book'!$A$3,"State","AR","type",13,"type2","Techncial")</f>
        <v>0</v>
      </c>
      <c r="AF6" s="260">
        <f>+GETPIVOTDATA("Sum of OLD-Tot UG SCH Calc",'Pivot Table for Fact Book'!$A$3,"State","AR","type2","Techncial")</f>
        <v>0</v>
      </c>
      <c r="AG6" s="261">
        <f>+GETPIVOTDATA("Sum of NEW-Tot UG SCH Calc",'Pivot Table for Fact Book'!$A$3,"State","AR","type2","Techncial")</f>
        <v>0</v>
      </c>
    </row>
    <row r="7" spans="1:33">
      <c r="A7" s="269" t="s">
        <v>827</v>
      </c>
      <c r="B7" s="256">
        <f>GETPIVOTDATA("Sum of OLD-Tot UG SCH Calc",'Pivot Table for Fact Book'!$A$3,"State","DE","type",1,"Type2","Four-Year")</f>
        <v>583850</v>
      </c>
      <c r="C7" s="257">
        <f>GETPIVOTDATA("Sum of NEW-Tot UG SCH Calc",'Pivot Table for Fact Book'!$A$3,"State","DE","type",1,"Type2","Four-Year")</f>
        <v>593876</v>
      </c>
      <c r="D7" s="256">
        <f>GETPIVOTDATA("Sum of OLD-Tot UG SCH Calc",'Pivot Table for Fact Book'!$A$3,"State","DE","type",2,"Type2","Four-Year")</f>
        <v>0</v>
      </c>
      <c r="E7" s="257">
        <f>GETPIVOTDATA("Sum of NEW-Tot UG SCH Calc",'Pivot Table for Fact Book'!$A$3,"State","DE","type",2,"Type2","Four-Year")</f>
        <v>0</v>
      </c>
      <c r="F7" s="256">
        <f>GETPIVOTDATA("Sum of OLD-Tot UG SCH Calc",'Pivot Table for Fact Book'!$A$3,"State","DE","type",3,"Type2","Four-Year")</f>
        <v>123316</v>
      </c>
      <c r="G7" s="257">
        <f>GETPIVOTDATA("Sum of NEW-Tot UG SCH Calc",'Pivot Table for Fact Book'!$A$3,"State","DE","type",3,"Type2","Four-Year")</f>
        <v>136454</v>
      </c>
      <c r="H7" s="256">
        <f>GETPIVOTDATA("Sum of OLD-Tot UG SCH Calc",'Pivot Table for Fact Book'!$A$3,"State","DE","type",4,"Type2","Four-Year")</f>
        <v>0</v>
      </c>
      <c r="I7" s="257">
        <f>GETPIVOTDATA("Sum of NEW-Tot UG SCH Calc",'Pivot Table for Fact Book'!$A$3,"State","DE","type",4,"Type2","Four-Year")</f>
        <v>0</v>
      </c>
      <c r="J7" s="256">
        <f>GETPIVOTDATA("Sum of OLD-Tot UG SCH Calc",'Pivot Table for Fact Book'!$A$3,"State","DE","type",5,"Type2","Four-Year")</f>
        <v>0</v>
      </c>
      <c r="K7" s="257">
        <f>GETPIVOTDATA("Sum of NEW-Tot UG SCH Calc",'Pivot Table for Fact Book'!$A$3,"State","DE","type",5,"Type2","Four-Year")</f>
        <v>0</v>
      </c>
      <c r="L7" s="256">
        <f>GETPIVOTDATA("Sum of OLD-Tot UG SCH Calc",'Pivot Table for Fact Book'!$A$3,"State","DE","type",6,"Type2","Four-Year")</f>
        <v>0</v>
      </c>
      <c r="M7" s="257">
        <f>GETPIVOTDATA("Sum of NEW-Tot UG SCH Calc",'Pivot Table for Fact Book'!$A$3,"State","DE","type",6,"Type2","Four-Year")</f>
        <v>0</v>
      </c>
      <c r="N7" s="256">
        <f>GETPIVOTDATA("Sum of OLD-Tot UG SCH Calc",'Pivot Table for Fact Book'!$A$3,"State","DE","type",15,"Type2","Four-Year")</f>
        <v>0</v>
      </c>
      <c r="O7" s="257">
        <f>GETPIVOTDATA("Sum of NEW-Tot UG SCH Calc",'Pivot Table for Fact Book'!$A$3,"State","DE","type",15,"Type2","Four-Year")</f>
        <v>0</v>
      </c>
      <c r="P7" s="258">
        <f>GETPIVOTDATA("Sum of OLD-Tot UG SCH Calc",'Pivot Table for Fact Book'!$A$3,"State","DE","Type2","Four-Year")</f>
        <v>707166</v>
      </c>
      <c r="Q7" s="258">
        <f>GETPIVOTDATA("Sum of NEW-Tot UG SCH Calc",'Pivot Table for Fact Book'!$A$3,"State","DE","Type2","Four-Year")</f>
        <v>730330</v>
      </c>
      <c r="R7" s="256">
        <f>GETPIVOTDATA("Sum of OLD-Tot UG SCH Calc",'Pivot Table for Fact Book'!$A$3,"State","DE","type",7,"Type2","Two-Year")</f>
        <v>0</v>
      </c>
      <c r="S7" s="257">
        <f>GETPIVOTDATA("Sum of NEW-Tot UG SCH Calc",'Pivot Table for Fact Book'!$A$3,"State","DE","type",7,"Type2","Two-Year")</f>
        <v>0</v>
      </c>
      <c r="T7" s="257">
        <f>GETPIVOTDATA("Sum of OLD-Tot UG SCH Calc",'Pivot Table for Fact Book'!$A$3,"State","DE","type",8,"Type2","Two-Year")</f>
        <v>0</v>
      </c>
      <c r="U7" s="257">
        <f>GETPIVOTDATA("Sum of NEW-Tot UG SCH Calc",'Pivot Table for Fact Book'!$A$3,"State","DE","type",8,"Type2","Two-Year")</f>
        <v>0</v>
      </c>
      <c r="V7" s="257">
        <f>GETPIVOTDATA("Sum of OLD-Tot UG SCH Calc",'Pivot Table for Fact Book'!$A$3,"State","DE","type",9,"Type2","Two-Year")</f>
        <v>268781</v>
      </c>
      <c r="W7" s="257">
        <f>GETPIVOTDATA("Sum of NEW-Tot UG SCH Calc",'Pivot Table for Fact Book'!$A$3,"State","DE","type",9,"Type2","Two-Year")</f>
        <v>270379</v>
      </c>
      <c r="X7" s="257">
        <f>GETPIVOTDATA("Sum of OLD-Tot UG SCH Calc",'Pivot Table for Fact Book'!$A$3,"State","DE","type",10,"Type2","Two-Year")</f>
        <v>0</v>
      </c>
      <c r="Y7" s="257">
        <f>GETPIVOTDATA("Sum of NEW-Tot UG SCH Calc",'Pivot Table for Fact Book'!$A$3,"State","DE","type",10,"Type2","Two-Year")</f>
        <v>0</v>
      </c>
      <c r="Z7" s="259">
        <f>GETPIVOTDATA("Sum of OLD-Tot UG SCH Calc",'Pivot Table for Fact Book'!$A$3,"State","DE","Type2","Two-Year")</f>
        <v>268781</v>
      </c>
      <c r="AA7" s="259">
        <f>GETPIVOTDATA("Sum of NEW-Tot UG SCH Calc",'Pivot Table for Fact Book'!$A$3,"State","DE","Type2","Two-Year")</f>
        <v>270379</v>
      </c>
      <c r="AB7" s="256">
        <f>+GETPIVOTDATA("Sum of OLD-Tot UG SCH Calc",'Pivot Table for Fact Book'!$A$3,"State","DE","type",12,"type2","Techncial")</f>
        <v>0</v>
      </c>
      <c r="AC7" s="257">
        <f>+GETPIVOTDATA("Sum of NEW-Tot UG SCH Calc",'Pivot Table for Fact Book'!$A$3,"State","DE","type",12,"type2","Techncial")</f>
        <v>0</v>
      </c>
      <c r="AD7" s="256">
        <f>+GETPIVOTDATA("Sum of OLD-Tot UG SCH Calc",'Pivot Table for Fact Book'!$A$3,"State","DE","type",13,"type2","Techncial")</f>
        <v>0</v>
      </c>
      <c r="AE7" s="257">
        <f>+GETPIVOTDATA("Sum of NEW-Tot UG SCH Calc",'Pivot Table for Fact Book'!$A$3,"State","DE","type",13,"type2","Techncial")</f>
        <v>0</v>
      </c>
      <c r="AF7" s="260">
        <f>+GETPIVOTDATA("Sum of OLD-Tot UG SCH Calc",'Pivot Table for Fact Book'!$A$3,"State","DE","type2","Techncial")</f>
        <v>0</v>
      </c>
      <c r="AG7" s="261">
        <f>+GETPIVOTDATA("Sum of NEW-Tot UG SCH Calc",'Pivot Table for Fact Book'!$A$3,"State","DE","type2","Techncial")</f>
        <v>0</v>
      </c>
    </row>
    <row r="8" spans="1:33">
      <c r="A8" s="269" t="s">
        <v>828</v>
      </c>
      <c r="B8" s="256">
        <f>GETPIVOTDATA("Sum of OLD-Tot UG SCH Calc",'Pivot Table for Fact Book'!$A$3,"State","FL","type",1,"Type2","Four-Year")</f>
        <v>0</v>
      </c>
      <c r="C8" s="257">
        <f>GETPIVOTDATA("Sum of NEW-Tot UG SCH Calc",'Pivot Table for Fact Book'!$A$3,"State","FL","type",1,"Type2","Four-Year")</f>
        <v>0</v>
      </c>
      <c r="D8" s="256">
        <f>GETPIVOTDATA("Sum of OLD-Tot UG SCH Calc",'Pivot Table for Fact Book'!$A$3,"State","FL","type",2,"Type2","Four-Year")</f>
        <v>0</v>
      </c>
      <c r="E8" s="257">
        <f>GETPIVOTDATA("Sum of NEW-Tot UG SCH Calc",'Pivot Table for Fact Book'!$A$3,"State","FL","type",2,"Type2","Four-Year")</f>
        <v>0</v>
      </c>
      <c r="F8" s="256">
        <f>GETPIVOTDATA("Sum of OLD-Tot UG SCH Calc",'Pivot Table for Fact Book'!$A$3,"State","FL","type",3,"Type2","Four-Year")</f>
        <v>0</v>
      </c>
      <c r="G8" s="257">
        <f>GETPIVOTDATA("Sum of NEW-Tot UG SCH Calc",'Pivot Table for Fact Book'!$A$3,"State","FL","type",3,"Type2","Four-Year")</f>
        <v>0</v>
      </c>
      <c r="H8" s="256">
        <f>GETPIVOTDATA("Sum of OLD-Tot UG SCH Calc",'Pivot Table for Fact Book'!$A$3,"State","FL","type",4,"Type2","Four-Year")</f>
        <v>0</v>
      </c>
      <c r="I8" s="257">
        <f>GETPIVOTDATA("Sum of NEW-Tot UG SCH Calc",'Pivot Table for Fact Book'!$A$3,"State","FL","type",4,"Type2","Four-Year")</f>
        <v>0</v>
      </c>
      <c r="J8" s="256">
        <f>GETPIVOTDATA("Sum of OLD-Tot UG SCH Calc",'Pivot Table for Fact Book'!$A$3,"State","FL","type",5,"Type2","Four-Year")</f>
        <v>0</v>
      </c>
      <c r="K8" s="257">
        <f>GETPIVOTDATA("Sum of NEW-Tot UG SCH Calc",'Pivot Table for Fact Book'!$A$3,"State","FL","type",5,"Type2","Four-Year")</f>
        <v>0</v>
      </c>
      <c r="L8" s="256">
        <f>GETPIVOTDATA("Sum of OLD-Tot UG SCH Calc",'Pivot Table for Fact Book'!$A$3,"State","FL","type",6,"Type2","Four-Year")</f>
        <v>0</v>
      </c>
      <c r="M8" s="257">
        <f>GETPIVOTDATA("Sum of NEW-Tot UG SCH Calc",'Pivot Table for Fact Book'!$A$3,"State","FL","type",6,"Type2","Four-Year")</f>
        <v>0</v>
      </c>
      <c r="N8" s="256">
        <f>GETPIVOTDATA("Sum of OLD-Tot UG SCH Calc",'Pivot Table for Fact Book'!$A$3,"State","FL","type",15,"Type2","Four-Year")</f>
        <v>0</v>
      </c>
      <c r="O8" s="257">
        <f>GETPIVOTDATA("Sum of NEW-Tot UG SCH Calc",'Pivot Table for Fact Book'!$A$3,"State","FL","type",15,"Type2","Four-Year")</f>
        <v>0</v>
      </c>
      <c r="P8" s="258">
        <f>GETPIVOTDATA("Sum of OLD-Tot UG SCH Calc",'Pivot Table for Fact Book'!$A$3,"State","FL","Type2","Four-Year")</f>
        <v>0</v>
      </c>
      <c r="Q8" s="258">
        <f>GETPIVOTDATA("Sum of NEW-Tot UG SCH Calc",'Pivot Table for Fact Book'!$A$3,"State","FL","Type2","Four-Year")</f>
        <v>0</v>
      </c>
      <c r="R8" s="256">
        <f>GETPIVOTDATA("Sum of OLD-Tot UG SCH Calc",'Pivot Table for Fact Book'!$A$3,"State","FL","type",7,"Type2","Two-Year")</f>
        <v>8213068</v>
      </c>
      <c r="S8" s="257">
        <f>GETPIVOTDATA("Sum of NEW-Tot UG SCH Calc",'Pivot Table for Fact Book'!$A$3,"State","FL","type",7,"Type2","Two-Year")</f>
        <v>8182107</v>
      </c>
      <c r="T8" s="257">
        <f>GETPIVOTDATA("Sum of OLD-Tot UG SCH Calc",'Pivot Table for Fact Book'!$A$3,"State","FL","type",8,"Type2","Two-Year")</f>
        <v>824159</v>
      </c>
      <c r="U8" s="257">
        <f>GETPIVOTDATA("Sum of NEW-Tot UG SCH Calc",'Pivot Table for Fact Book'!$A$3,"State","FL","type",8,"Type2","Two-Year")</f>
        <v>845236</v>
      </c>
      <c r="V8" s="257">
        <f>GETPIVOTDATA("Sum of OLD-Tot UG SCH Calc",'Pivot Table for Fact Book'!$A$3,"State","FL","type",9,"Type2","Two-Year")</f>
        <v>0</v>
      </c>
      <c r="W8" s="257">
        <f>GETPIVOTDATA("Sum of NEW-Tot UG SCH Calc",'Pivot Table for Fact Book'!$A$3,"State","FL","type",9,"Type2","Two-Year")</f>
        <v>0</v>
      </c>
      <c r="X8" s="257">
        <f>GETPIVOTDATA("Sum of OLD-Tot UG SCH Calc",'Pivot Table for Fact Book'!$A$3,"State","FL","type",10,"Type2","Two-Year")</f>
        <v>42300</v>
      </c>
      <c r="Y8" s="257">
        <f>GETPIVOTDATA("Sum of NEW-Tot UG SCH Calc",'Pivot Table for Fact Book'!$A$3,"State","FL","type",10,"Type2","Two-Year")</f>
        <v>42338</v>
      </c>
      <c r="Z8" s="259">
        <f>GETPIVOTDATA("Sum of OLD-Tot UG SCH Calc",'Pivot Table for Fact Book'!$A$3,"State","FL","Type2","Two-Year")</f>
        <v>9079527</v>
      </c>
      <c r="AA8" s="259">
        <f>GETPIVOTDATA("Sum of NEW-Tot UG SCH Calc",'Pivot Table for Fact Book'!$A$3,"State","FL","Type2","Two-Year")</f>
        <v>9069681</v>
      </c>
      <c r="AB8" s="256">
        <f>+GETPIVOTDATA("Sum of OLD-Tot UG SCH Calc",'Pivot Table for Fact Book'!$A$3,"State","FL","type",12,"type2","Techncial")</f>
        <v>0</v>
      </c>
      <c r="AC8" s="257">
        <f>+GETPIVOTDATA("Sum of NEW-Tot UG SCH Calc",'Pivot Table for Fact Book'!$A$3,"State","FL","type",12,"type2","Techncial")</f>
        <v>0</v>
      </c>
      <c r="AD8" s="256">
        <f>+GETPIVOTDATA("Sum of OLD-Tot UG SCH Calc",'Pivot Table for Fact Book'!$A$3,"State","FL","type",13,"type2","Techncial")</f>
        <v>0</v>
      </c>
      <c r="AE8" s="257">
        <f>+GETPIVOTDATA("Sum of NEW-Tot UG SCH Calc",'Pivot Table for Fact Book'!$A$3,"State","FL","type",13,"type2","Techncial")</f>
        <v>0</v>
      </c>
      <c r="AF8" s="260">
        <f>+GETPIVOTDATA("Sum of OLD-Tot UG SCH Calc",'Pivot Table for Fact Book'!$A$3,"State","FL","type2","Techncial")</f>
        <v>0</v>
      </c>
      <c r="AG8" s="261">
        <f>+GETPIVOTDATA("Sum of NEW-Tot UG SCH Calc",'Pivot Table for Fact Book'!$A$3,"State","FL","type2","Techncial")</f>
        <v>0</v>
      </c>
    </row>
    <row r="9" spans="1:33">
      <c r="A9" s="269" t="s">
        <v>829</v>
      </c>
      <c r="B9" s="256">
        <f>GETPIVOTDATA("Sum of OLD-Tot UG SCH Calc",'Pivot Table for Fact Book'!$A$3,"State","GA","type",1,"Type2","Four-Year")</f>
        <v>1904194</v>
      </c>
      <c r="C9" s="257">
        <f>GETPIVOTDATA("Sum of NEW-Tot UG SCH Calc",'Pivot Table for Fact Book'!$A$3,"State","GA","type",1,"Type2","Four-Year")</f>
        <v>1962423</v>
      </c>
      <c r="D9" s="256">
        <f>GETPIVOTDATA("Sum of OLD-Tot UG SCH Calc",'Pivot Table for Fact Book'!$A$3,"State","GA","type",2,"Type2","Four-Year")</f>
        <v>438044</v>
      </c>
      <c r="E9" s="257">
        <f>GETPIVOTDATA("Sum of NEW-Tot UG SCH Calc",'Pivot Table for Fact Book'!$A$3,"State","GA","type",2,"Type2","Four-Year")</f>
        <v>448495</v>
      </c>
      <c r="F9" s="256">
        <f>GETPIVOTDATA("Sum of OLD-Tot UG SCH Calc",'Pivot Table for Fact Book'!$A$3,"State","GA","type",3,"Type2","Four-Year")</f>
        <v>1913039</v>
      </c>
      <c r="G9" s="257">
        <f>GETPIVOTDATA("Sum of NEW-Tot UG SCH Calc",'Pivot Table for Fact Book'!$A$3,"State","GA","type",3,"Type2","Four-Year")</f>
        <v>2059953</v>
      </c>
      <c r="H9" s="256">
        <f>GETPIVOTDATA("Sum of OLD-Tot UG SCH Calc",'Pivot Table for Fact Book'!$A$3,"State","GA","type",4,"Type2","Four-Year")</f>
        <v>1539456</v>
      </c>
      <c r="I9" s="257">
        <f>GETPIVOTDATA("Sum of NEW-Tot UG SCH Calc",'Pivot Table for Fact Book'!$A$3,"State","GA","type",4,"Type2","Four-Year")</f>
        <v>1401314.5</v>
      </c>
      <c r="J9" s="256">
        <f>GETPIVOTDATA("Sum of OLD-Tot UG SCH Calc",'Pivot Table for Fact Book'!$A$3,"State","GA","type",5,"Type2","Four-Year")</f>
        <v>123043</v>
      </c>
      <c r="K9" s="257">
        <f>GETPIVOTDATA("Sum of NEW-Tot UG SCH Calc",'Pivot Table for Fact Book'!$A$3,"State","GA","type",5,"Type2","Four-Year")</f>
        <v>117463</v>
      </c>
      <c r="L9" s="256">
        <f>GETPIVOTDATA("Sum of OLD-Tot UG SCH Calc",'Pivot Table for Fact Book'!$A$3,"State","GA","type",6,"Type2","Four-Year")</f>
        <v>676909</v>
      </c>
      <c r="M9" s="257">
        <f>GETPIVOTDATA("Sum of NEW-Tot UG SCH Calc",'Pivot Table for Fact Book'!$A$3,"State","GA","type",6,"Type2","Four-Year")</f>
        <v>693119</v>
      </c>
      <c r="N9" s="256">
        <f>GETPIVOTDATA("Sum of OLD-Tot UG SCH Calc",'Pivot Table for Fact Book'!$A$3,"State","GA","type",15,"Type2","Four-Year")</f>
        <v>0</v>
      </c>
      <c r="O9" s="257">
        <f>GETPIVOTDATA("Sum of NEW-Tot UG SCH Calc",'Pivot Table for Fact Book'!$A$3,"State","GA","type",15,"Type2","Four-Year")</f>
        <v>0</v>
      </c>
      <c r="P9" s="258">
        <f>GETPIVOTDATA("Sum of OLD-Tot UG SCH Calc",'Pivot Table for Fact Book'!$A$3,"State","GA","Type2","Four-Year")</f>
        <v>6594685</v>
      </c>
      <c r="Q9" s="258">
        <f>GETPIVOTDATA("Sum of NEW-Tot UG SCH Calc",'Pivot Table for Fact Book'!$A$3,"State","GA","Type2","Four-Year")</f>
        <v>6682767.5</v>
      </c>
      <c r="R9" s="256">
        <f>GETPIVOTDATA("Sum of OLD-Tot UG SCH Calc",'Pivot Table for Fact Book'!$A$3,"State","GA","type",7,"Type2","Two-Year")</f>
        <v>498002</v>
      </c>
      <c r="S9" s="257">
        <f>GETPIVOTDATA("Sum of NEW-Tot UG SCH Calc",'Pivot Table for Fact Book'!$A$3,"State","GA","type",7,"Type2","Two-Year")</f>
        <v>517561</v>
      </c>
      <c r="T9" s="257">
        <f>GETPIVOTDATA("Sum of OLD-Tot UG SCH Calc",'Pivot Table for Fact Book'!$A$3,"State","GA","type",8,"Type2","Two-Year")</f>
        <v>0</v>
      </c>
      <c r="U9" s="257">
        <f>GETPIVOTDATA("Sum of NEW-Tot UG SCH Calc",'Pivot Table for Fact Book'!$A$3,"State","GA","type",8,"Type2","Two-Year")</f>
        <v>0</v>
      </c>
      <c r="V9" s="257">
        <f>GETPIVOTDATA("Sum of OLD-Tot UG SCH Calc",'Pivot Table for Fact Book'!$A$3,"State","GA","type",9,"Type2","Two-Year")</f>
        <v>0</v>
      </c>
      <c r="W9" s="257">
        <f>GETPIVOTDATA("Sum of NEW-Tot UG SCH Calc",'Pivot Table for Fact Book'!$A$3,"State","GA","type",9,"Type2","Two-Year")</f>
        <v>0</v>
      </c>
      <c r="X9" s="257">
        <f>GETPIVOTDATA("Sum of OLD-Tot UG SCH Calc",'Pivot Table for Fact Book'!$A$3,"State","GA","type",10,"Type2","Two-Year")</f>
        <v>41554</v>
      </c>
      <c r="Y9" s="257">
        <f>GETPIVOTDATA("Sum of NEW-Tot UG SCH Calc",'Pivot Table for Fact Book'!$A$3,"State","GA","type",10,"Type2","Two-Year")</f>
        <v>0</v>
      </c>
      <c r="Z9" s="259">
        <f>GETPIVOTDATA("Sum of OLD-Tot UG SCH Calc",'Pivot Table for Fact Book'!$A$3,"State","GA","Type2","Two-Year")</f>
        <v>539556</v>
      </c>
      <c r="AA9" s="259">
        <f>GETPIVOTDATA("Sum of NEW-Tot UG SCH Calc",'Pivot Table for Fact Book'!$A$3,"State","GA","Type2","Two-Year")</f>
        <v>517561</v>
      </c>
      <c r="AB9" s="256">
        <f>+GETPIVOTDATA("Sum of OLD-Tot UG SCH Calc",'Pivot Table for Fact Book'!$A$3,"State","GA","type",12,"type2","Techncial")</f>
        <v>1949689.1</v>
      </c>
      <c r="AC9" s="257">
        <f>+GETPIVOTDATA("Sum of NEW-Tot UG SCH Calc",'Pivot Table for Fact Book'!$A$3,"State","GA","type",12,"type2","Techncial")</f>
        <v>1984110.4</v>
      </c>
      <c r="AD9" s="256">
        <f>+GETPIVOTDATA("Sum of OLD-Tot UG SCH Calc",'Pivot Table for Fact Book'!$A$3,"State","GA","type",13,"type2","Techncial")</f>
        <v>0</v>
      </c>
      <c r="AE9" s="257">
        <f>+GETPIVOTDATA("Sum of NEW-Tot UG SCH Calc",'Pivot Table for Fact Book'!$A$3,"State","GA","type",13,"type2","Techncial")</f>
        <v>0</v>
      </c>
      <c r="AF9" s="260">
        <f>+GETPIVOTDATA("Sum of OLD-Tot UG SCH Calc",'Pivot Table for Fact Book'!$A$3,"State","GA","type2","Techncial")</f>
        <v>1949689.1</v>
      </c>
      <c r="AG9" s="261">
        <f>+GETPIVOTDATA("Sum of NEW-Tot UG SCH Calc",'Pivot Table for Fact Book'!$A$3,"State","GA","type2","Techncial")</f>
        <v>1984110.4</v>
      </c>
    </row>
    <row r="10" spans="1:33">
      <c r="A10" s="269" t="s">
        <v>830</v>
      </c>
      <c r="B10" s="256">
        <f>GETPIVOTDATA("Sum of OLD-Tot UG SCH Calc",'Pivot Table for Fact Book'!$A$3,"State","KY","type",1,"Type2","Four-Year")</f>
        <v>1078259</v>
      </c>
      <c r="C10" s="257">
        <f>GETPIVOTDATA("Sum of NEW-Tot UG SCH Calc",'Pivot Table for Fact Book'!$A$3,"State","KY","type",1,"Type2","Four-Year")</f>
        <v>1057814</v>
      </c>
      <c r="D10" s="256">
        <f>GETPIVOTDATA("Sum of OLD-Tot UG SCH Calc",'Pivot Table for Fact Book'!$A$3,"State","KY","type",2,"Type2","Four-Year")</f>
        <v>0</v>
      </c>
      <c r="E10" s="257">
        <f>GETPIVOTDATA("Sum of NEW-Tot UG SCH Calc",'Pivot Table for Fact Book'!$A$3,"State","KY","type",2,"Type2","Four-Year")</f>
        <v>0</v>
      </c>
      <c r="F10" s="256">
        <f>GETPIVOTDATA("Sum of OLD-Tot UG SCH Calc",'Pivot Table for Fact Book'!$A$3,"State","KY","type",3,"Type2","Four-Year")</f>
        <v>1596370</v>
      </c>
      <c r="G10" s="257">
        <f>GETPIVOTDATA("Sum of NEW-Tot UG SCH Calc",'Pivot Table for Fact Book'!$A$3,"State","KY","type",3,"Type2","Four-Year")</f>
        <v>1550869</v>
      </c>
      <c r="H10" s="256">
        <f>GETPIVOTDATA("Sum of OLD-Tot UG SCH Calc",'Pivot Table for Fact Book'!$A$3,"State","KY","type",4,"Type2","Four-Year")</f>
        <v>44162</v>
      </c>
      <c r="I10" s="257">
        <f>GETPIVOTDATA("Sum of NEW-Tot UG SCH Calc",'Pivot Table for Fact Book'!$A$3,"State","KY","type",4,"Type2","Four-Year")</f>
        <v>43504</v>
      </c>
      <c r="J10" s="256">
        <f>GETPIVOTDATA("Sum of OLD-Tot UG SCH Calc",'Pivot Table for Fact Book'!$A$3,"State","KY","type",5,"Type2","Four-Year")</f>
        <v>0</v>
      </c>
      <c r="K10" s="257">
        <f>GETPIVOTDATA("Sum of NEW-Tot UG SCH Calc",'Pivot Table for Fact Book'!$A$3,"State","KY","type",5,"Type2","Four-Year")</f>
        <v>0</v>
      </c>
      <c r="L10" s="256">
        <f>GETPIVOTDATA("Sum of OLD-Tot UG SCH Calc",'Pivot Table for Fact Book'!$A$3,"State","KY","type",6,"Type2","Four-Year")</f>
        <v>0</v>
      </c>
      <c r="M10" s="257">
        <f>GETPIVOTDATA("Sum of NEW-Tot UG SCH Calc",'Pivot Table for Fact Book'!$A$3,"State","KY","type",6,"Type2","Four-Year")</f>
        <v>0</v>
      </c>
      <c r="N10" s="256">
        <f>GETPIVOTDATA("Sum of OLD-Tot UG SCH Calc",'Pivot Table for Fact Book'!$A$3,"State","KY","type",15,"Type2","Four-Year")</f>
        <v>0</v>
      </c>
      <c r="O10" s="257">
        <f>GETPIVOTDATA("Sum of NEW-Tot UG SCH Calc",'Pivot Table for Fact Book'!$A$3,"State","KY","type",15,"Type2","Four-Year")</f>
        <v>0</v>
      </c>
      <c r="P10" s="258">
        <f>GETPIVOTDATA("Sum of OLD-Tot UG SCH Calc",'Pivot Table for Fact Book'!$A$3,"State","KY","Type2","Four-Year")</f>
        <v>2718791</v>
      </c>
      <c r="Q10" s="258">
        <f>GETPIVOTDATA("Sum of NEW-Tot UG SCH Calc",'Pivot Table for Fact Book'!$A$3,"State","KY","Type2","Four-Year")</f>
        <v>2652187</v>
      </c>
      <c r="R10" s="256">
        <f>GETPIVOTDATA("Sum of OLD-Tot UG SCH Calc",'Pivot Table for Fact Book'!$A$3,"State","KY","type",7,"Type2","Two-Year")</f>
        <v>0</v>
      </c>
      <c r="S10" s="257">
        <f>GETPIVOTDATA("Sum of NEW-Tot UG SCH Calc",'Pivot Table for Fact Book'!$A$3,"State","KY","type",7,"Type2","Two-Year")</f>
        <v>0</v>
      </c>
      <c r="T10" s="257">
        <f>GETPIVOTDATA("Sum of OLD-Tot UG SCH Calc",'Pivot Table for Fact Book'!$A$3,"State","KY","type",8,"Type2","Two-Year")</f>
        <v>384253</v>
      </c>
      <c r="U10" s="257">
        <f>GETPIVOTDATA("Sum of NEW-Tot UG SCH Calc",'Pivot Table for Fact Book'!$A$3,"State","KY","type",8,"Type2","Two-Year")</f>
        <v>380140</v>
      </c>
      <c r="V10" s="257">
        <f>GETPIVOTDATA("Sum of OLD-Tot UG SCH Calc",'Pivot Table for Fact Book'!$A$3,"State","KY","type",9,"Type2","Two-Year")</f>
        <v>577970</v>
      </c>
      <c r="W10" s="257">
        <f>GETPIVOTDATA("Sum of NEW-Tot UG SCH Calc",'Pivot Table for Fact Book'!$A$3,"State","KY","type",9,"Type2","Two-Year")</f>
        <v>570928</v>
      </c>
      <c r="X10" s="257">
        <f>GETPIVOTDATA("Sum of OLD-Tot UG SCH Calc",'Pivot Table for Fact Book'!$A$3,"State","KY","type",10,"Type2","Two-Year")</f>
        <v>255905</v>
      </c>
      <c r="Y10" s="257">
        <f>GETPIVOTDATA("Sum of NEW-Tot UG SCH Calc",'Pivot Table for Fact Book'!$A$3,"State","KY","type",10,"Type2","Two-Year")</f>
        <v>234291</v>
      </c>
      <c r="Z10" s="259">
        <f>GETPIVOTDATA("Sum of OLD-Tot UG SCH Calc",'Pivot Table for Fact Book'!$A$3,"State","KY","Type2","Two-Year")</f>
        <v>1218128</v>
      </c>
      <c r="AA10" s="259">
        <f>GETPIVOTDATA("Sum of NEW-Tot UG SCH Calc",'Pivot Table for Fact Book'!$A$3,"State","KY","Type2","Two-Year")</f>
        <v>1185359</v>
      </c>
      <c r="AB10" s="256">
        <f>+GETPIVOTDATA("Sum of OLD-Tot UG SCH Calc",'Pivot Table for Fact Book'!$A$3,"State","KY","type",12,"type2","Techncial")</f>
        <v>148193</v>
      </c>
      <c r="AC10" s="257">
        <f>+GETPIVOTDATA("Sum of NEW-Tot UG SCH Calc",'Pivot Table for Fact Book'!$A$3,"State","KY","type",12,"type2","Techncial")</f>
        <v>149961</v>
      </c>
      <c r="AD10" s="256">
        <f>+GETPIVOTDATA("Sum of OLD-Tot UG SCH Calc",'Pivot Table for Fact Book'!$A$3,"State","KY","type",13,"type2","Techncial")</f>
        <v>0</v>
      </c>
      <c r="AE10" s="257">
        <f>+GETPIVOTDATA("Sum of NEW-Tot UG SCH Calc",'Pivot Table for Fact Book'!$A$3,"State","KY","type",13,"type2","Techncial")</f>
        <v>0</v>
      </c>
      <c r="AF10" s="260">
        <f>+GETPIVOTDATA("Sum of OLD-Tot UG SCH Calc",'Pivot Table for Fact Book'!$A$3,"State","KY","type2","Techncial")</f>
        <v>148193</v>
      </c>
      <c r="AG10" s="261">
        <f>+GETPIVOTDATA("Sum of NEW-Tot UG SCH Calc",'Pivot Table for Fact Book'!$A$3,"State","KY","type2","Techncial")</f>
        <v>149961</v>
      </c>
    </row>
    <row r="11" spans="1:33">
      <c r="A11" s="269" t="s">
        <v>831</v>
      </c>
      <c r="B11" s="256">
        <f>GETPIVOTDATA("Sum of OLD-Tot UG SCH Calc",'Pivot Table for Fact Book'!$A$3,"State","LA","type",1,"Type2","Four-Year")</f>
        <v>707259.00000000023</v>
      </c>
      <c r="C11" s="257">
        <f>GETPIVOTDATA("Sum of NEW-Tot UG SCH Calc",'Pivot Table for Fact Book'!$A$3,"State","LA","type",1,"Type2","Four-Year")</f>
        <v>697351.99999999977</v>
      </c>
      <c r="D11" s="256">
        <f>GETPIVOTDATA("Sum of OLD-Tot UG SCH Calc",'Pivot Table for Fact Book'!$A$3,"State","LA","type",2,"Type2","Four-Year")</f>
        <v>846337.99999999965</v>
      </c>
      <c r="E11" s="257">
        <f>GETPIVOTDATA("Sum of NEW-Tot UG SCH Calc",'Pivot Table for Fact Book'!$A$3,"State","LA","type",2,"Type2","Four-Year")</f>
        <v>840339.00000000012</v>
      </c>
      <c r="F11" s="256">
        <f>GETPIVOTDATA("Sum of OLD-Tot UG SCH Calc",'Pivot Table for Fact Book'!$A$3,"State","LA","type",3,"Type2","Four-Year")</f>
        <v>844545.00000000047</v>
      </c>
      <c r="G11" s="257">
        <f>GETPIVOTDATA("Sum of NEW-Tot UG SCH Calc",'Pivot Table for Fact Book'!$A$3,"State","LA","type",3,"Type2","Four-Year")</f>
        <v>856987.99999999907</v>
      </c>
      <c r="H11" s="256">
        <f>GETPIVOTDATA("Sum of OLD-Tot UG SCH Calc",'Pivot Table for Fact Book'!$A$3,"State","LA","type",4,"Type2","Four-Year")</f>
        <v>553184.00000000012</v>
      </c>
      <c r="I11" s="257">
        <f>GETPIVOTDATA("Sum of NEW-Tot UG SCH Calc",'Pivot Table for Fact Book'!$A$3,"State","LA","type",4,"Type2","Four-Year")</f>
        <v>574917.99999999953</v>
      </c>
      <c r="J11" s="256">
        <f>GETPIVOTDATA("Sum of OLD-Tot UG SCH Calc",'Pivot Table for Fact Book'!$A$3,"State","LA","type",5,"Type2","Four-Year")</f>
        <v>49569.999999999964</v>
      </c>
      <c r="K11" s="257">
        <f>GETPIVOTDATA("Sum of NEW-Tot UG SCH Calc",'Pivot Table for Fact Book'!$A$3,"State","LA","type",5,"Type2","Four-Year")</f>
        <v>48565.000000000015</v>
      </c>
      <c r="L11" s="256">
        <f>GETPIVOTDATA("Sum of OLD-Tot UG SCH Calc",'Pivot Table for Fact Book'!$A$3,"State","LA","type",6,"Type2","Four-Year")</f>
        <v>72677</v>
      </c>
      <c r="M11" s="257">
        <f>GETPIVOTDATA("Sum of NEW-Tot UG SCH Calc",'Pivot Table for Fact Book'!$A$3,"State","LA","type",6,"Type2","Four-Year")</f>
        <v>74440</v>
      </c>
      <c r="N11" s="256">
        <f>GETPIVOTDATA("Sum of OLD-Tot UG SCH Calc",'Pivot Table for Fact Book'!$A$3,"State","LA","type",15,"Type2","Four-Year")</f>
        <v>0</v>
      </c>
      <c r="O11" s="257">
        <f>GETPIVOTDATA("Sum of NEW-Tot UG SCH Calc",'Pivot Table for Fact Book'!$A$3,"State","LA","type",15,"Type2","Four-Year")</f>
        <v>0</v>
      </c>
      <c r="P11" s="258">
        <f>GETPIVOTDATA("Sum of OLD-Tot UG SCH Calc",'Pivot Table for Fact Book'!$A$3,"State","LA","Type2","Four-Year")</f>
        <v>3073573.0000000005</v>
      </c>
      <c r="Q11" s="258">
        <f>GETPIVOTDATA("Sum of NEW-Tot UG SCH Calc",'Pivot Table for Fact Book'!$A$3,"State","LA","Type2","Four-Year")</f>
        <v>3092601.9999999986</v>
      </c>
      <c r="R11" s="256">
        <f>GETPIVOTDATA("Sum of OLD-Tot UG SCH Calc",'Pivot Table for Fact Book'!$A$3,"State","LA","type",7,"Type2","Two-Year")</f>
        <v>0</v>
      </c>
      <c r="S11" s="257">
        <f>GETPIVOTDATA("Sum of NEW-Tot UG SCH Calc",'Pivot Table for Fact Book'!$A$3,"State","LA","type",7,"Type2","Two-Year")</f>
        <v>0</v>
      </c>
      <c r="T11" s="257">
        <f>GETPIVOTDATA("Sum of OLD-Tot UG SCH Calc",'Pivot Table for Fact Book'!$A$3,"State","LA","type",8,"Type2","Two-Year")</f>
        <v>576043</v>
      </c>
      <c r="U11" s="257">
        <f>GETPIVOTDATA("Sum of NEW-Tot UG SCH Calc",'Pivot Table for Fact Book'!$A$3,"State","LA","type",8,"Type2","Two-Year")</f>
        <v>584470.99999999977</v>
      </c>
      <c r="V11" s="257">
        <f>GETPIVOTDATA("Sum of OLD-Tot UG SCH Calc",'Pivot Table for Fact Book'!$A$3,"State","LA","type",9,"Type2","Two-Year")</f>
        <v>276698.50000000029</v>
      </c>
      <c r="W11" s="257">
        <f>GETPIVOTDATA("Sum of NEW-Tot UG SCH Calc",'Pivot Table for Fact Book'!$A$3,"State","LA","type",9,"Type2","Two-Year")</f>
        <v>279008.00000000041</v>
      </c>
      <c r="X11" s="257">
        <f>GETPIVOTDATA("Sum of OLD-Tot UG SCH Calc",'Pivot Table for Fact Book'!$A$3,"State","LA","type",10,"Type2","Two-Year")</f>
        <v>147766</v>
      </c>
      <c r="Y11" s="257">
        <f>GETPIVOTDATA("Sum of NEW-Tot UG SCH Calc",'Pivot Table for Fact Book'!$A$3,"State","LA","type",10,"Type2","Two-Year")</f>
        <v>174002.00000000003</v>
      </c>
      <c r="Z11" s="259">
        <f>GETPIVOTDATA("Sum of OLD-Tot UG SCH Calc",'Pivot Table for Fact Book'!$A$3,"State","LA","Type2","Two-Year")</f>
        <v>1000507.5000000002</v>
      </c>
      <c r="AA11" s="259">
        <f>GETPIVOTDATA("Sum of NEW-Tot UG SCH Calc",'Pivot Table for Fact Book'!$A$3,"State","LA","Type2","Two-Year")</f>
        <v>1037481.0000000002</v>
      </c>
      <c r="AB11" s="256">
        <f>+GETPIVOTDATA("Sum of OLD-Tot UG SCH Calc",'Pivot Table for Fact Book'!$A$3,"State","LA","type",12,"type2","Techncial")</f>
        <v>279893.49999999994</v>
      </c>
      <c r="AC11" s="257">
        <f>+GETPIVOTDATA("Sum of NEW-Tot UG SCH Calc",'Pivot Table for Fact Book'!$A$3,"State","LA","type",12,"type2","Techncial")</f>
        <v>250479.99999999997</v>
      </c>
      <c r="AD11" s="256">
        <f>+GETPIVOTDATA("Sum of OLD-Tot UG SCH Calc",'Pivot Table for Fact Book'!$A$3,"State","LA","type",13,"type2","Techncial")</f>
        <v>0</v>
      </c>
      <c r="AE11" s="257">
        <f>+GETPIVOTDATA("Sum of NEW-Tot UG SCH Calc",'Pivot Table for Fact Book'!$A$3,"State","LA","type",13,"type2","Techncial")</f>
        <v>0</v>
      </c>
      <c r="AF11" s="260">
        <f>+GETPIVOTDATA("Sum of OLD-Tot UG SCH Calc",'Pivot Table for Fact Book'!$A$3,"State","LA","type2","Techncial")</f>
        <v>279893.49999999994</v>
      </c>
      <c r="AG11" s="261">
        <f>+GETPIVOTDATA("Sum of NEW-Tot UG SCH Calc",'Pivot Table for Fact Book'!$A$3,"State","LA","type2","Techncial")</f>
        <v>250479.99999999997</v>
      </c>
    </row>
    <row r="12" spans="1:33">
      <c r="A12" s="269" t="s">
        <v>832</v>
      </c>
      <c r="B12" s="256">
        <f>GETPIVOTDATA("Sum of OLD-Tot UG SCH Calc",'Pivot Table for Fact Book'!$A$3,"State","MD","type",1,"Type2","Four-Year")</f>
        <v>853125</v>
      </c>
      <c r="C12" s="257">
        <f>GETPIVOTDATA("Sum of NEW-Tot UG SCH Calc",'Pivot Table for Fact Book'!$A$3,"State","MD","type",1,"Type2","Four-Year")</f>
        <v>864022</v>
      </c>
      <c r="D12" s="256">
        <f>GETPIVOTDATA("Sum of OLD-Tot UG SCH Calc",'Pivot Table for Fact Book'!$A$3,"State","MD","type",2,"Type2","Four-Year")</f>
        <v>501329</v>
      </c>
      <c r="E12" s="257">
        <f>GETPIVOTDATA("Sum of NEW-Tot UG SCH Calc",'Pivot Table for Fact Book'!$A$3,"State","MD","type",2,"Type2","Four-Year")</f>
        <v>512704</v>
      </c>
      <c r="F12" s="256">
        <f>GETPIVOTDATA("Sum of OLD-Tot UG SCH Calc",'Pivot Table for Fact Book'!$A$3,"State","MD","type",3,"Type2","Four-Year")</f>
        <v>611968</v>
      </c>
      <c r="G12" s="257">
        <f>GETPIVOTDATA("Sum of NEW-Tot UG SCH Calc",'Pivot Table for Fact Book'!$A$3,"State","MD","type",3,"Type2","Four-Year")</f>
        <v>695006.5</v>
      </c>
      <c r="H12" s="256">
        <f>GETPIVOTDATA("Sum of OLD-Tot UG SCH Calc",'Pivot Table for Fact Book'!$A$3,"State","MD","type",4,"Type2","Four-Year")</f>
        <v>586463</v>
      </c>
      <c r="I12" s="257">
        <f>GETPIVOTDATA("Sum of NEW-Tot UG SCH Calc",'Pivot Table for Fact Book'!$A$3,"State","MD","type",4,"Type2","Four-Year")</f>
        <v>494086</v>
      </c>
      <c r="J12" s="256">
        <f>GETPIVOTDATA("Sum of OLD-Tot UG SCH Calc",'Pivot Table for Fact Book'!$A$3,"State","MD","type",5,"Type2","Four-Year")</f>
        <v>63125</v>
      </c>
      <c r="K12" s="257">
        <f>GETPIVOTDATA("Sum of NEW-Tot UG SCH Calc",'Pivot Table for Fact Book'!$A$3,"State","MD","type",5,"Type2","Four-Year")</f>
        <v>61715</v>
      </c>
      <c r="L12" s="256">
        <f>GETPIVOTDATA("Sum of OLD-Tot UG SCH Calc",'Pivot Table for Fact Book'!$A$3,"State","MD","type",6,"Type2","Four-Year")</f>
        <v>48855</v>
      </c>
      <c r="M12" s="257">
        <f>GETPIVOTDATA("Sum of NEW-Tot UG SCH Calc",'Pivot Table for Fact Book'!$A$3,"State","MD","type",6,"Type2","Four-Year")</f>
        <v>48085.5</v>
      </c>
      <c r="N12" s="256">
        <f>GETPIVOTDATA("Sum of OLD-Tot UG SCH Calc",'Pivot Table for Fact Book'!$A$3,"State","MD","type",15,"Type2","Four-Year")</f>
        <v>816016</v>
      </c>
      <c r="O12" s="257">
        <f>GETPIVOTDATA("Sum of NEW-Tot UG SCH Calc",'Pivot Table for Fact Book'!$A$3,"State","MD","type",15,"Type2","Four-Year")</f>
        <v>845319</v>
      </c>
      <c r="P12" s="258">
        <f>GETPIVOTDATA("Sum of OLD-Tot UG SCH Calc",'Pivot Table for Fact Book'!$A$3,"State","MD","Type2","Four-Year")</f>
        <v>3480881</v>
      </c>
      <c r="Q12" s="258">
        <f>GETPIVOTDATA("Sum of NEW-Tot UG SCH Calc",'Pivot Table for Fact Book'!$A$3,"State","MD","Type2","Four-Year")</f>
        <v>3520938</v>
      </c>
      <c r="R12" s="256">
        <f>GETPIVOTDATA("Sum of OLD-Tot UG SCH Calc",'Pivot Table for Fact Book'!$A$3,"State","MD","type",7,"Type2","Two-Year")</f>
        <v>0</v>
      </c>
      <c r="S12" s="257">
        <f>GETPIVOTDATA("Sum of NEW-Tot UG SCH Calc",'Pivot Table for Fact Book'!$A$3,"State","MD","type",7,"Type2","Two-Year")</f>
        <v>0</v>
      </c>
      <c r="T12" s="257">
        <f>GETPIVOTDATA("Sum of OLD-Tot UG SCH Calc",'Pivot Table for Fact Book'!$A$3,"State","MD","type",8,"Type2","Two-Year")</f>
        <v>2000184</v>
      </c>
      <c r="U12" s="257">
        <f>GETPIVOTDATA("Sum of NEW-Tot UG SCH Calc",'Pivot Table for Fact Book'!$A$3,"State","MD","type",8,"Type2","Two-Year")</f>
        <v>1937952</v>
      </c>
      <c r="V12" s="257">
        <f>GETPIVOTDATA("Sum of OLD-Tot UG SCH Calc",'Pivot Table for Fact Book'!$A$3,"State","MD","type",9,"Type2","Two-Year")</f>
        <v>496675.5</v>
      </c>
      <c r="W12" s="257">
        <f>GETPIVOTDATA("Sum of NEW-Tot UG SCH Calc",'Pivot Table for Fact Book'!$A$3,"State","MD","type",9,"Type2","Two-Year")</f>
        <v>484387.9</v>
      </c>
      <c r="X12" s="257">
        <f>GETPIVOTDATA("Sum of OLD-Tot UG SCH Calc",'Pivot Table for Fact Book'!$A$3,"State","MD","type",10,"Type2","Two-Year")</f>
        <v>149955.5</v>
      </c>
      <c r="Y12" s="257">
        <f>GETPIVOTDATA("Sum of NEW-Tot UG SCH Calc",'Pivot Table for Fact Book'!$A$3,"State","MD","type",10,"Type2","Two-Year")</f>
        <v>144004</v>
      </c>
      <c r="Z12" s="259">
        <f>GETPIVOTDATA("Sum of OLD-Tot UG SCH Calc",'Pivot Table for Fact Book'!$A$3,"State","MD","Type2","Two-Year")</f>
        <v>2646815</v>
      </c>
      <c r="AA12" s="259">
        <f>GETPIVOTDATA("Sum of NEW-Tot UG SCH Calc",'Pivot Table for Fact Book'!$A$3,"State","MD","Type2","Two-Year")</f>
        <v>2566343.9</v>
      </c>
      <c r="AB12" s="256">
        <f>+GETPIVOTDATA("Sum of OLD-Tot UG SCH Calc",'Pivot Table for Fact Book'!$A$3,"State","MD","type",12,"type2","Techncial")</f>
        <v>0</v>
      </c>
      <c r="AC12" s="257">
        <f>+GETPIVOTDATA("Sum of NEW-Tot UG SCH Calc",'Pivot Table for Fact Book'!$A$3,"State","MD","type",12,"type2","Techncial")</f>
        <v>0</v>
      </c>
      <c r="AD12" s="256">
        <f>+GETPIVOTDATA("Sum of OLD-Tot UG SCH Calc",'Pivot Table for Fact Book'!$A$3,"State","MD","type",13,"type2","Techncial")</f>
        <v>0</v>
      </c>
      <c r="AE12" s="257">
        <f>+GETPIVOTDATA("Sum of NEW-Tot UG SCH Calc",'Pivot Table for Fact Book'!$A$3,"State","MD","type",13,"type2","Techncial")</f>
        <v>0</v>
      </c>
      <c r="AF12" s="260">
        <f>+GETPIVOTDATA("Sum of OLD-Tot UG SCH Calc",'Pivot Table for Fact Book'!$A$3,"State","MD","type2","Techncial")</f>
        <v>0</v>
      </c>
      <c r="AG12" s="261">
        <f>+GETPIVOTDATA("Sum of NEW-Tot UG SCH Calc",'Pivot Table for Fact Book'!$A$3,"State","MD","type2","Techncial")</f>
        <v>0</v>
      </c>
    </row>
    <row r="13" spans="1:33">
      <c r="A13" s="269" t="s">
        <v>833</v>
      </c>
      <c r="B13" s="256">
        <f>GETPIVOTDATA("Sum of OLD-Tot UG SCH Calc",'Pivot Table for Fact Book'!$A$3,"State","MS","type",1,"Type2","Four-Year")</f>
        <v>1406063</v>
      </c>
      <c r="C13" s="257">
        <f>GETPIVOTDATA("Sum of NEW-Tot UG SCH Calc",'Pivot Table for Fact Book'!$A$3,"State","MS","type",1,"Type2","Four-Year")</f>
        <v>1409427</v>
      </c>
      <c r="D13" s="256">
        <f>GETPIVOTDATA("Sum of OLD-Tot UG SCH Calc",'Pivot Table for Fact Book'!$A$3,"State","MS","type",2,"Type2","Four-Year")</f>
        <v>160290</v>
      </c>
      <c r="E13" s="257">
        <f>GETPIVOTDATA("Sum of NEW-Tot UG SCH Calc",'Pivot Table for Fact Book'!$A$3,"State","MS","type",2,"Type2","Four-Year")</f>
        <v>151243</v>
      </c>
      <c r="F13" s="256">
        <f>GETPIVOTDATA("Sum of OLD-Tot UG SCH Calc",'Pivot Table for Fact Book'!$A$3,"State","MS","type",3,"Type2","Four-Year")</f>
        <v>0</v>
      </c>
      <c r="G13" s="257">
        <f>GETPIVOTDATA("Sum of NEW-Tot UG SCH Calc",'Pivot Table for Fact Book'!$A$3,"State","MS","type",3,"Type2","Four-Year")</f>
        <v>0</v>
      </c>
      <c r="H13" s="256">
        <f>GETPIVOTDATA("Sum of OLD-Tot UG SCH Calc",'Pivot Table for Fact Book'!$A$3,"State","MS","type",4,"Type2","Four-Year")</f>
        <v>214887</v>
      </c>
      <c r="I13" s="257">
        <f>GETPIVOTDATA("Sum of NEW-Tot UG SCH Calc",'Pivot Table for Fact Book'!$A$3,"State","MS","type",4,"Type2","Four-Year")</f>
        <v>218708</v>
      </c>
      <c r="J13" s="256">
        <f>GETPIVOTDATA("Sum of OLD-Tot UG SCH Calc",'Pivot Table for Fact Book'!$A$3,"State","MS","type",5,"Type2","Four-Year")</f>
        <v>71874</v>
      </c>
      <c r="K13" s="257">
        <f>GETPIVOTDATA("Sum of NEW-Tot UG SCH Calc",'Pivot Table for Fact Book'!$A$3,"State","MS","type",5,"Type2","Four-Year")</f>
        <v>70436</v>
      </c>
      <c r="L13" s="256">
        <f>GETPIVOTDATA("Sum of OLD-Tot UG SCH Calc",'Pivot Table for Fact Book'!$A$3,"State","MS","type",6,"Type2","Four-Year")</f>
        <v>0</v>
      </c>
      <c r="M13" s="257">
        <f>GETPIVOTDATA("Sum of NEW-Tot UG SCH Calc",'Pivot Table for Fact Book'!$A$3,"State","MS","type",6,"Type2","Four-Year")</f>
        <v>0</v>
      </c>
      <c r="N13" s="256">
        <f>GETPIVOTDATA("Sum of OLD-Tot UG SCH Calc",'Pivot Table for Fact Book'!$A$3,"State","MS","type",15,"Type2","Four-Year")</f>
        <v>0</v>
      </c>
      <c r="O13" s="257">
        <f>GETPIVOTDATA("Sum of NEW-Tot UG SCH Calc",'Pivot Table for Fact Book'!$A$3,"State","MS","type",15,"Type2","Four-Year")</f>
        <v>0</v>
      </c>
      <c r="P13" s="258">
        <f>GETPIVOTDATA("Sum of OLD-Tot UG SCH Calc",'Pivot Table for Fact Book'!$A$3,"State","MS","Type2","Four-Year")</f>
        <v>1853114</v>
      </c>
      <c r="Q13" s="258">
        <f>GETPIVOTDATA("Sum of NEW-Tot UG SCH Calc",'Pivot Table for Fact Book'!$A$3,"State","MS","Type2","Four-Year")</f>
        <v>1849814</v>
      </c>
      <c r="R13" s="256">
        <f>GETPIVOTDATA("Sum of OLD-Tot UG SCH Calc",'Pivot Table for Fact Book'!$A$3,"State","MS","type",7,"Type2","Two-Year")</f>
        <v>0</v>
      </c>
      <c r="S13" s="257">
        <f>GETPIVOTDATA("Sum of NEW-Tot UG SCH Calc",'Pivot Table for Fact Book'!$A$3,"State","MS","type",7,"Type2","Two-Year")</f>
        <v>0</v>
      </c>
      <c r="T13" s="257">
        <f>GETPIVOTDATA("Sum of OLD-Tot UG SCH Calc",'Pivot Table for Fact Book'!$A$3,"State","MS","type",8,"Type2","Two-Year")</f>
        <v>1020516</v>
      </c>
      <c r="U13" s="257">
        <f>GETPIVOTDATA("Sum of NEW-Tot UG SCH Calc",'Pivot Table for Fact Book'!$A$3,"State","MS","type",8,"Type2","Two-Year")</f>
        <v>1009398</v>
      </c>
      <c r="V13" s="257">
        <f>GETPIVOTDATA("Sum of OLD-Tot UG SCH Calc",'Pivot Table for Fact Book'!$A$3,"State","MS","type",9,"Type2","Two-Year")</f>
        <v>760430</v>
      </c>
      <c r="W13" s="257">
        <f>GETPIVOTDATA("Sum of NEW-Tot UG SCH Calc",'Pivot Table for Fact Book'!$A$3,"State","MS","type",9,"Type2","Two-Year")</f>
        <v>752811</v>
      </c>
      <c r="X13" s="257">
        <f>GETPIVOTDATA("Sum of OLD-Tot UG SCH Calc",'Pivot Table for Fact Book'!$A$3,"State","MS","type",10,"Type2","Two-Year")</f>
        <v>105547</v>
      </c>
      <c r="Y13" s="257">
        <f>GETPIVOTDATA("Sum of NEW-Tot UG SCH Calc",'Pivot Table for Fact Book'!$A$3,"State","MS","type",10,"Type2","Two-Year")</f>
        <v>105434</v>
      </c>
      <c r="Z13" s="259">
        <f>GETPIVOTDATA("Sum of OLD-Tot UG SCH Calc",'Pivot Table for Fact Book'!$A$3,"State","MS","Type2","Two-Year")</f>
        <v>1886493</v>
      </c>
      <c r="AA13" s="259">
        <f>GETPIVOTDATA("Sum of NEW-Tot UG SCH Calc",'Pivot Table for Fact Book'!$A$3,"State","MS","Type2","Two-Year")</f>
        <v>1867643</v>
      </c>
      <c r="AB13" s="256">
        <f>+GETPIVOTDATA("Sum of OLD-Tot UG SCH Calc",'Pivot Table for Fact Book'!$A$3,"State","MS","type",12,"type2","Techncial")</f>
        <v>0</v>
      </c>
      <c r="AC13" s="257">
        <f>+GETPIVOTDATA("Sum of NEW-Tot UG SCH Calc",'Pivot Table for Fact Book'!$A$3,"State","MS","type",12,"type2","Techncial")</f>
        <v>0</v>
      </c>
      <c r="AD13" s="256">
        <f>+GETPIVOTDATA("Sum of OLD-Tot UG SCH Calc",'Pivot Table for Fact Book'!$A$3,"State","MS","type",13,"type2","Techncial")</f>
        <v>0</v>
      </c>
      <c r="AE13" s="257">
        <f>+GETPIVOTDATA("Sum of NEW-Tot UG SCH Calc",'Pivot Table for Fact Book'!$A$3,"State","MS","type",13,"type2","Techncial")</f>
        <v>0</v>
      </c>
      <c r="AF13" s="260">
        <f>+GETPIVOTDATA("Sum of OLD-Tot UG SCH Calc",'Pivot Table for Fact Book'!$A$3,"State","MS","type2","Techncial")</f>
        <v>0</v>
      </c>
      <c r="AG13" s="261">
        <f>+GETPIVOTDATA("Sum of NEW-Tot UG SCH Calc",'Pivot Table for Fact Book'!$A$3,"State","MS","type2","Techncial")</f>
        <v>0</v>
      </c>
    </row>
    <row r="14" spans="1:33">
      <c r="A14" s="269" t="s">
        <v>834</v>
      </c>
      <c r="B14" s="256">
        <f>GETPIVOTDATA("Sum of OLD-Tot UG SCH Calc",'Pivot Table for Fact Book'!$A$3,"State","NC","type",1,"Type2","Four-Year")</f>
        <v>2326246</v>
      </c>
      <c r="C14" s="257">
        <f>GETPIVOTDATA("Sum of NEW-Tot UG SCH Calc",'Pivot Table for Fact Book'!$A$3,"State","NC","type",1,"Type2","Four-Year")</f>
        <v>2397818</v>
      </c>
      <c r="D14" s="256">
        <f>GETPIVOTDATA("Sum of OLD-Tot UG SCH Calc",'Pivot Table for Fact Book'!$A$3,"State","NC","type",2,"Type2","Four-Year")</f>
        <v>636129</v>
      </c>
      <c r="E14" s="257">
        <f>GETPIVOTDATA("Sum of NEW-Tot UG SCH Calc",'Pivot Table for Fact Book'!$A$3,"State","NC","type",2,"Type2","Four-Year")</f>
        <v>654760</v>
      </c>
      <c r="F14" s="256">
        <f>GETPIVOTDATA("Sum of OLD-Tot UG SCH Calc",'Pivot Table for Fact Book'!$A$3,"State","NC","type",3,"Type2","Four-Year")</f>
        <v>1653756</v>
      </c>
      <c r="G14" s="257">
        <f>GETPIVOTDATA("Sum of NEW-Tot UG SCH Calc",'Pivot Table for Fact Book'!$A$3,"State","NC","type",3,"Type2","Four-Year")</f>
        <v>1689243</v>
      </c>
      <c r="H14" s="256">
        <f>GETPIVOTDATA("Sum of OLD-Tot UG SCH Calc",'Pivot Table for Fact Book'!$A$3,"State","NC","type",4,"Type2","Four-Year")</f>
        <v>142028</v>
      </c>
      <c r="I14" s="257">
        <f>GETPIVOTDATA("Sum of NEW-Tot UG SCH Calc",'Pivot Table for Fact Book'!$A$3,"State","NC","type",4,"Type2","Four-Year")</f>
        <v>145496</v>
      </c>
      <c r="J14" s="256">
        <f>GETPIVOTDATA("Sum of OLD-Tot UG SCH Calc",'Pivot Table for Fact Book'!$A$3,"State","NC","type",5,"Type2","Four-Year")</f>
        <v>279736</v>
      </c>
      <c r="K14" s="257">
        <f>GETPIVOTDATA("Sum of NEW-Tot UG SCH Calc",'Pivot Table for Fact Book'!$A$3,"State","NC","type",5,"Type2","Four-Year")</f>
        <v>292488</v>
      </c>
      <c r="L14" s="256">
        <f>GETPIVOTDATA("Sum of OLD-Tot UG SCH Calc",'Pivot Table for Fact Book'!$A$3,"State","NC","type",6,"Type2","Four-Year")</f>
        <v>140061</v>
      </c>
      <c r="M14" s="257">
        <f>GETPIVOTDATA("Sum of NEW-Tot UG SCH Calc",'Pivot Table for Fact Book'!$A$3,"State","NC","type",6,"Type2","Four-Year")</f>
        <v>143321</v>
      </c>
      <c r="N14" s="256">
        <f>GETPIVOTDATA("Sum of OLD-Tot UG SCH Calc",'Pivot Table for Fact Book'!$A$3,"State","NC","type",15,"Type2","Four-Year")</f>
        <v>0</v>
      </c>
      <c r="O14" s="257">
        <f>GETPIVOTDATA("Sum of NEW-Tot UG SCH Calc",'Pivot Table for Fact Book'!$A$3,"State","NC","type",15,"Type2","Four-Year")</f>
        <v>0</v>
      </c>
      <c r="P14" s="258">
        <f>GETPIVOTDATA("Sum of OLD-Tot UG SCH Calc",'Pivot Table for Fact Book'!$A$3,"State","NC","Type2","Four-Year")</f>
        <v>5177956</v>
      </c>
      <c r="Q14" s="258">
        <f>GETPIVOTDATA("Sum of NEW-Tot UG SCH Calc",'Pivot Table for Fact Book'!$A$3,"State","NC","Type2","Four-Year")</f>
        <v>5323126</v>
      </c>
      <c r="R14" s="256">
        <f>GETPIVOTDATA("Sum of OLD-Tot UG SCH Calc",'Pivot Table for Fact Book'!$A$3,"State","NC","type",7,"Type2","Two-Year")</f>
        <v>0</v>
      </c>
      <c r="S14" s="257">
        <f>GETPIVOTDATA("Sum of NEW-Tot UG SCH Calc",'Pivot Table for Fact Book'!$A$3,"State","NC","type",7,"Type2","Two-Year")</f>
        <v>0</v>
      </c>
      <c r="T14" s="257">
        <f>GETPIVOTDATA("Sum of OLD-Tot UG SCH Calc",'Pivot Table for Fact Book'!$A$3,"State","NC","type",8,"Type2","Two-Year")</f>
        <v>2094856.6</v>
      </c>
      <c r="U14" s="257">
        <f>GETPIVOTDATA("Sum of NEW-Tot UG SCH Calc",'Pivot Table for Fact Book'!$A$3,"State","NC","type",8,"Type2","Two-Year")</f>
        <v>2084741</v>
      </c>
      <c r="V14" s="257">
        <f>GETPIVOTDATA("Sum of OLD-Tot UG SCH Calc",'Pivot Table for Fact Book'!$A$3,"State","NC","type",9,"Type2","Two-Year")</f>
        <v>1611022.5</v>
      </c>
      <c r="W14" s="257">
        <f>GETPIVOTDATA("Sum of NEW-Tot UG SCH Calc",'Pivot Table for Fact Book'!$A$3,"State","NC","type",9,"Type2","Two-Year")</f>
        <v>1610761</v>
      </c>
      <c r="X14" s="257">
        <f>GETPIVOTDATA("Sum of OLD-Tot UG SCH Calc",'Pivot Table for Fact Book'!$A$3,"State","NC","type",10,"Type2","Two-Year")</f>
        <v>767833.3</v>
      </c>
      <c r="Y14" s="257">
        <f>GETPIVOTDATA("Sum of NEW-Tot UG SCH Calc",'Pivot Table for Fact Book'!$A$3,"State","NC","type",10,"Type2","Two-Year")</f>
        <v>763167.5</v>
      </c>
      <c r="Z14" s="259">
        <f>GETPIVOTDATA("Sum of OLD-Tot UG SCH Calc",'Pivot Table for Fact Book'!$A$3,"State","NC","Type2","Two-Year")</f>
        <v>4473712.4000000004</v>
      </c>
      <c r="AA14" s="259">
        <f>GETPIVOTDATA("Sum of NEW-Tot UG SCH Calc",'Pivot Table for Fact Book'!$A$3,"State","NC","Type2","Two-Year")</f>
        <v>4458669.5</v>
      </c>
      <c r="AB14" s="256">
        <f>+GETPIVOTDATA("Sum of OLD-Tot UG SCH Calc",'Pivot Table for Fact Book'!$A$3,"State","NC","type",12,"type2","Techncial")</f>
        <v>0</v>
      </c>
      <c r="AC14" s="257">
        <f>+GETPIVOTDATA("Sum of NEW-Tot UG SCH Calc",'Pivot Table for Fact Book'!$A$3,"State","NC","type",12,"type2","Techncial")</f>
        <v>0</v>
      </c>
      <c r="AD14" s="256">
        <f>+GETPIVOTDATA("Sum of OLD-Tot UG SCH Calc",'Pivot Table for Fact Book'!$A$3,"State","NC","type",13,"type2","Techncial")</f>
        <v>0</v>
      </c>
      <c r="AE14" s="257">
        <f>+GETPIVOTDATA("Sum of NEW-Tot UG SCH Calc",'Pivot Table for Fact Book'!$A$3,"State","NC","type",13,"type2","Techncial")</f>
        <v>0</v>
      </c>
      <c r="AF14" s="260">
        <f>+GETPIVOTDATA("Sum of OLD-Tot UG SCH Calc",'Pivot Table for Fact Book'!$A$3,"State","NC","type2","Techncial")</f>
        <v>0</v>
      </c>
      <c r="AG14" s="261">
        <f>+GETPIVOTDATA("Sum of NEW-Tot UG SCH Calc",'Pivot Table for Fact Book'!$A$3,"State","NC","type2","Techncial")</f>
        <v>0</v>
      </c>
    </row>
    <row r="15" spans="1:33">
      <c r="A15" s="269" t="s">
        <v>835</v>
      </c>
      <c r="B15" s="256">
        <f>GETPIVOTDATA("Sum of OLD-Tot UG SCH Calc",'Pivot Table for Fact Book'!$A$3,"State","OK","type",1,"Type2","Four-Year")</f>
        <v>1198205</v>
      </c>
      <c r="C15" s="257">
        <f>GETPIVOTDATA("Sum of NEW-Tot UG SCH Calc",'Pivot Table for Fact Book'!$A$3,"State","OK","type",1,"Type2","Four-Year")</f>
        <v>1208074</v>
      </c>
      <c r="D15" s="256">
        <f>GETPIVOTDATA("Sum of OLD-Tot UG SCH Calc",'Pivot Table for Fact Book'!$A$3,"State","OK","type",2,"Type2","Four-Year")</f>
        <v>0</v>
      </c>
      <c r="E15" s="257">
        <f>GETPIVOTDATA("Sum of NEW-Tot UG SCH Calc",'Pivot Table for Fact Book'!$A$3,"State","OK","type",2,"Type2","Four-Year")</f>
        <v>0</v>
      </c>
      <c r="F15" s="256">
        <f>GETPIVOTDATA("Sum of OLD-Tot UG SCH Calc",'Pivot Table for Fact Book'!$A$3,"State","OK","type",3,"Type2","Four-Year")</f>
        <v>520865</v>
      </c>
      <c r="G15" s="257">
        <f>GETPIVOTDATA("Sum of NEW-Tot UG SCH Calc",'Pivot Table for Fact Book'!$A$3,"State","OK","type",3,"Type2","Four-Year")</f>
        <v>514843</v>
      </c>
      <c r="H15" s="256">
        <f>GETPIVOTDATA("Sum of OLD-Tot UG SCH Calc",'Pivot Table for Fact Book'!$A$3,"State","OK","type",4,"Type2","Four-Year")</f>
        <v>205446</v>
      </c>
      <c r="I15" s="257">
        <f>GETPIVOTDATA("Sum of NEW-Tot UG SCH Calc",'Pivot Table for Fact Book'!$A$3,"State","OK","type",4,"Type2","Four-Year")</f>
        <v>203228</v>
      </c>
      <c r="J15" s="256">
        <f>GETPIVOTDATA("Sum of OLD-Tot UG SCH Calc",'Pivot Table for Fact Book'!$A$3,"State","OK","type",5,"Type2","Four-Year")</f>
        <v>292626</v>
      </c>
      <c r="K15" s="257">
        <f>GETPIVOTDATA("Sum of NEW-Tot UG SCH Calc",'Pivot Table for Fact Book'!$A$3,"State","OK","type",5,"Type2","Four-Year")</f>
        <v>283331</v>
      </c>
      <c r="L15" s="256">
        <f>GETPIVOTDATA("Sum of OLD-Tot UG SCH Calc",'Pivot Table for Fact Book'!$A$3,"State","OK","type",6,"Type2","Four-Year")</f>
        <v>138785</v>
      </c>
      <c r="M15" s="257">
        <f>GETPIVOTDATA("Sum of NEW-Tot UG SCH Calc",'Pivot Table for Fact Book'!$A$3,"State","OK","type",6,"Type2","Four-Year")</f>
        <v>138432</v>
      </c>
      <c r="N15" s="256">
        <f>GETPIVOTDATA("Sum of OLD-Tot UG SCH Calc",'Pivot Table for Fact Book'!$A$3,"State","OK","type",15,"Type2","Four-Year")</f>
        <v>0</v>
      </c>
      <c r="O15" s="257">
        <f>GETPIVOTDATA("Sum of NEW-Tot UG SCH Calc",'Pivot Table for Fact Book'!$A$3,"State","OK","type",15,"Type2","Four-Year")</f>
        <v>0</v>
      </c>
      <c r="P15" s="258">
        <f>GETPIVOTDATA("Sum of OLD-Tot UG SCH Calc",'Pivot Table for Fact Book'!$A$3,"State","OK","Type2","Four-Year")</f>
        <v>2355927</v>
      </c>
      <c r="Q15" s="258">
        <f>GETPIVOTDATA("Sum of NEW-Tot UG SCH Calc",'Pivot Table for Fact Book'!$A$3,"State","OK","Type2","Four-Year")</f>
        <v>2347908</v>
      </c>
      <c r="R15" s="256">
        <f>GETPIVOTDATA("Sum of OLD-Tot UG SCH Calc",'Pivot Table for Fact Book'!$A$3,"State","OK","type",7,"Type2","Two-Year")</f>
        <v>204757</v>
      </c>
      <c r="S15" s="257">
        <f>GETPIVOTDATA("Sum of NEW-Tot UG SCH Calc",'Pivot Table for Fact Book'!$A$3,"State","OK","type",7,"Type2","Two-Year")</f>
        <v>198623</v>
      </c>
      <c r="T15" s="257">
        <f>GETPIVOTDATA("Sum of OLD-Tot UG SCH Calc",'Pivot Table for Fact Book'!$A$3,"State","OK","type",8,"Type2","Two-Year")</f>
        <v>540588</v>
      </c>
      <c r="U15" s="257">
        <f>GETPIVOTDATA("Sum of NEW-Tot UG SCH Calc",'Pivot Table for Fact Book'!$A$3,"State","OK","type",8,"Type2","Two-Year")</f>
        <v>546646</v>
      </c>
      <c r="V15" s="257">
        <f>GETPIVOTDATA("Sum of OLD-Tot UG SCH Calc",'Pivot Table for Fact Book'!$A$3,"State","OK","type",9,"Type2","Two-Year")</f>
        <v>213692</v>
      </c>
      <c r="W15" s="257">
        <f>GETPIVOTDATA("Sum of NEW-Tot UG SCH Calc",'Pivot Table for Fact Book'!$A$3,"State","OK","type",9,"Type2","Two-Year")</f>
        <v>207268</v>
      </c>
      <c r="X15" s="257">
        <f>GETPIVOTDATA("Sum of OLD-Tot UG SCH Calc",'Pivot Table for Fact Book'!$A$3,"State","OK","type",10,"Type2","Two-Year")</f>
        <v>320872</v>
      </c>
      <c r="Y15" s="257">
        <f>GETPIVOTDATA("Sum of NEW-Tot UG SCH Calc",'Pivot Table for Fact Book'!$A$3,"State","OK","type",10,"Type2","Two-Year")</f>
        <v>320783</v>
      </c>
      <c r="Z15" s="259">
        <f>GETPIVOTDATA("Sum of OLD-Tot UG SCH Calc",'Pivot Table for Fact Book'!$A$3,"State","OK","Type2","Two-Year")</f>
        <v>1279909</v>
      </c>
      <c r="AA15" s="259">
        <f>GETPIVOTDATA("Sum of NEW-Tot UG SCH Calc",'Pivot Table for Fact Book'!$A$3,"State","OK","Type2","Two-Year")</f>
        <v>1273320</v>
      </c>
      <c r="AB15" s="256">
        <f>+GETPIVOTDATA("Sum of OLD-Tot UG SCH Calc",'Pivot Table for Fact Book'!$A$3,"State","OK","type",12,"type2","Techncial")</f>
        <v>0</v>
      </c>
      <c r="AC15" s="257">
        <f>+GETPIVOTDATA("Sum of NEW-Tot UG SCH Calc",'Pivot Table for Fact Book'!$A$3,"State","OK","type",12,"type2","Techncial")</f>
        <v>0</v>
      </c>
      <c r="AD15" s="256">
        <f>+GETPIVOTDATA("Sum of OLD-Tot UG SCH Calc",'Pivot Table for Fact Book'!$A$3,"State","OK","type",13,"type2","Techncial")</f>
        <v>0</v>
      </c>
      <c r="AE15" s="257">
        <f>+GETPIVOTDATA("Sum of NEW-Tot UG SCH Calc",'Pivot Table for Fact Book'!$A$3,"State","OK","type",13,"type2","Techncial")</f>
        <v>0</v>
      </c>
      <c r="AF15" s="260">
        <f>+GETPIVOTDATA("Sum of OLD-Tot UG SCH Calc",'Pivot Table for Fact Book'!$A$3,"State","OK","type2","Techncial")</f>
        <v>0</v>
      </c>
      <c r="AG15" s="261">
        <f>+GETPIVOTDATA("Sum of NEW-Tot UG SCH Calc",'Pivot Table for Fact Book'!$A$3,"State","OK","type2","Techncial")</f>
        <v>0</v>
      </c>
    </row>
    <row r="16" spans="1:33">
      <c r="A16" s="269" t="s">
        <v>836</v>
      </c>
      <c r="B16" s="256">
        <f>GETPIVOTDATA("Sum of OLD-Tot UG SCH Calc",'Pivot Table for Fact Book'!$A$3,"State","SC","type",1,"Type2","Four-Year")</f>
        <v>1379623</v>
      </c>
      <c r="C16" s="257">
        <f>GETPIVOTDATA("Sum of NEW-Tot UG SCH Calc",'Pivot Table for Fact Book'!$A$3,"State","SC","type",1,"Type2","Four-Year")</f>
        <v>1412649</v>
      </c>
      <c r="D16" s="256">
        <f>GETPIVOTDATA("Sum of OLD-Tot UG SCH Calc",'Pivot Table for Fact Book'!$A$3,"State","SC","type",2,"Type2","Four-Year")</f>
        <v>0</v>
      </c>
      <c r="E16" s="257">
        <f>GETPIVOTDATA("Sum of NEW-Tot UG SCH Calc",'Pivot Table for Fact Book'!$A$3,"State","SC","type",2,"Type2","Four-Year")</f>
        <v>0</v>
      </c>
      <c r="F16" s="256">
        <f>GETPIVOTDATA("Sum of OLD-Tot UG SCH Calc",'Pivot Table for Fact Book'!$A$3,"State","SC","type",3,"Type2","Four-Year")</f>
        <v>542042</v>
      </c>
      <c r="G16" s="257">
        <f>GETPIVOTDATA("Sum of NEW-Tot UG SCH Calc",'Pivot Table for Fact Book'!$A$3,"State","SC","type",3,"Type2","Four-Year")</f>
        <v>537923</v>
      </c>
      <c r="H16" s="256">
        <f>GETPIVOTDATA("Sum of OLD-Tot UG SCH Calc",'Pivot Table for Fact Book'!$A$3,"State","SC","type",4,"Type2","Four-Year")</f>
        <v>290577</v>
      </c>
      <c r="I16" s="257">
        <f>GETPIVOTDATA("Sum of NEW-Tot UG SCH Calc",'Pivot Table for Fact Book'!$A$3,"State","SC","type",4,"Type2","Four-Year")</f>
        <v>292069</v>
      </c>
      <c r="J16" s="256">
        <f>GETPIVOTDATA("Sum of OLD-Tot UG SCH Calc",'Pivot Table for Fact Book'!$A$3,"State","SC","type",5,"Type2","Four-Year")</f>
        <v>162780</v>
      </c>
      <c r="K16" s="257">
        <f>GETPIVOTDATA("Sum of NEW-Tot UG SCH Calc",'Pivot Table for Fact Book'!$A$3,"State","SC","type",5,"Type2","Four-Year")</f>
        <v>155895</v>
      </c>
      <c r="L16" s="256">
        <f>GETPIVOTDATA("Sum of OLD-Tot UG SCH Calc",'Pivot Table for Fact Book'!$A$3,"State","SC","type",6,"Type2","Four-Year")</f>
        <v>377881</v>
      </c>
      <c r="M16" s="257">
        <f>GETPIVOTDATA("Sum of NEW-Tot UG SCH Calc",'Pivot Table for Fact Book'!$A$3,"State","SC","type",6,"Type2","Four-Year")</f>
        <v>392184.5</v>
      </c>
      <c r="N16" s="256">
        <f>GETPIVOTDATA("Sum of OLD-Tot UG SCH Calc",'Pivot Table for Fact Book'!$A$3,"State","SC","type",15,"Type2","Four-Year")</f>
        <v>0</v>
      </c>
      <c r="O16" s="257">
        <f>GETPIVOTDATA("Sum of NEW-Tot UG SCH Calc",'Pivot Table for Fact Book'!$A$3,"State","SC","type",15,"Type2","Four-Year")</f>
        <v>0</v>
      </c>
      <c r="P16" s="258">
        <f>GETPIVOTDATA("Sum of OLD-Tot UG SCH Calc",'Pivot Table for Fact Book'!$A$3,"State","SC","Type2","Four-Year")</f>
        <v>2752903</v>
      </c>
      <c r="Q16" s="258">
        <f>GETPIVOTDATA("Sum of NEW-Tot UG SCH Calc",'Pivot Table for Fact Book'!$A$3,"State","SC","Type2","Four-Year")</f>
        <v>2790720.5</v>
      </c>
      <c r="R16" s="256">
        <f>GETPIVOTDATA("Sum of OLD-Tot UG SCH Calc",'Pivot Table for Fact Book'!$A$3,"State","SC","type",7,"Type2","Two-Year")</f>
        <v>0</v>
      </c>
      <c r="S16" s="257">
        <f>GETPIVOTDATA("Sum of NEW-Tot UG SCH Calc",'Pivot Table for Fact Book'!$A$3,"State","SC","type",7,"Type2","Two-Year")</f>
        <v>0</v>
      </c>
      <c r="T16" s="257">
        <f>GETPIVOTDATA("Sum of OLD-Tot UG SCH Calc",'Pivot Table for Fact Book'!$A$3,"State","SC","type",8,"Type2","Two-Year")</f>
        <v>900186</v>
      </c>
      <c r="U16" s="257">
        <f>GETPIVOTDATA("Sum of NEW-Tot UG SCH Calc",'Pivot Table for Fact Book'!$A$3,"State","SC","type",8,"Type2","Two-Year")</f>
        <v>859427</v>
      </c>
      <c r="V16" s="257">
        <f>GETPIVOTDATA("Sum of OLD-Tot UG SCH Calc",'Pivot Table for Fact Book'!$A$3,"State","SC","type",9,"Type2","Two-Year")</f>
        <v>626218</v>
      </c>
      <c r="W16" s="257">
        <f>GETPIVOTDATA("Sum of NEW-Tot UG SCH Calc",'Pivot Table for Fact Book'!$A$3,"State","SC","type",9,"Type2","Two-Year")</f>
        <v>591914</v>
      </c>
      <c r="X16" s="257">
        <f>GETPIVOTDATA("Sum of OLD-Tot UG SCH Calc",'Pivot Table for Fact Book'!$A$3,"State","SC","type",10,"Type2","Two-Year")</f>
        <v>295157</v>
      </c>
      <c r="Y16" s="257">
        <f>GETPIVOTDATA("Sum of NEW-Tot UG SCH Calc",'Pivot Table for Fact Book'!$A$3,"State","SC","type",10,"Type2","Two-Year")</f>
        <v>293351</v>
      </c>
      <c r="Z16" s="259">
        <f>GETPIVOTDATA("Sum of OLD-Tot UG SCH Calc",'Pivot Table for Fact Book'!$A$3,"State","SC","Type2","Two-Year")</f>
        <v>1821561</v>
      </c>
      <c r="AA16" s="259">
        <f>GETPIVOTDATA("Sum of NEW-Tot UG SCH Calc",'Pivot Table for Fact Book'!$A$3,"State","SC","Type2","Two-Year")</f>
        <v>1744692</v>
      </c>
      <c r="AB16" s="256">
        <f>+GETPIVOTDATA("Sum of OLD-Tot UG SCH Calc",'Pivot Table for Fact Book'!$A$3,"State","SC","type",12,"type2","Techncial")</f>
        <v>0</v>
      </c>
      <c r="AC16" s="257">
        <f>+GETPIVOTDATA("Sum of NEW-Tot UG SCH Calc",'Pivot Table for Fact Book'!$A$3,"State","SC","type",12,"type2","Techncial")</f>
        <v>0</v>
      </c>
      <c r="AD16" s="256">
        <f>+GETPIVOTDATA("Sum of OLD-Tot UG SCH Calc",'Pivot Table for Fact Book'!$A$3,"State","SC","type",13,"type2","Techncial")</f>
        <v>0</v>
      </c>
      <c r="AE16" s="257">
        <f>+GETPIVOTDATA("Sum of NEW-Tot UG SCH Calc",'Pivot Table for Fact Book'!$A$3,"State","SC","type",13,"type2","Techncial")</f>
        <v>0</v>
      </c>
      <c r="AF16" s="260">
        <f>+GETPIVOTDATA("Sum of OLD-Tot UG SCH Calc",'Pivot Table for Fact Book'!$A$3,"State","SC","type2","Techncial")</f>
        <v>0</v>
      </c>
      <c r="AG16" s="261">
        <f>+GETPIVOTDATA("Sum of NEW-Tot UG SCH Calc",'Pivot Table for Fact Book'!$A$3,"State","SC","type2","Techncial")</f>
        <v>0</v>
      </c>
    </row>
    <row r="17" spans="1:33">
      <c r="A17" s="269" t="s">
        <v>837</v>
      </c>
      <c r="B17" s="256">
        <f>GETPIVOTDATA("Sum of OLD-Tot UG SCH Calc",'Pivot Table for Fact Book'!$A$3,"State","TN","type",1,"Type2","Four-Year")</f>
        <v>1032856</v>
      </c>
      <c r="C17" s="257">
        <f>GETPIVOTDATA("Sum of NEW-Tot UG SCH Calc",'Pivot Table for Fact Book'!$A$3,"State","TN","type",1,"Type2","Four-Year")</f>
        <v>1035036</v>
      </c>
      <c r="D17" s="256">
        <f>GETPIVOTDATA("Sum of OLD-Tot UG SCH Calc",'Pivot Table for Fact Book'!$A$3,"State","TN","type",2,"Type2","Four-Year")</f>
        <v>986151</v>
      </c>
      <c r="E17" s="257">
        <f>GETPIVOTDATA("Sum of NEW-Tot UG SCH Calc",'Pivot Table for Fact Book'!$A$3,"State","TN","type",2,"Type2","Four-Year")</f>
        <v>971329</v>
      </c>
      <c r="F17" s="256">
        <f>GETPIVOTDATA("Sum of OLD-Tot UG SCH Calc",'Pivot Table for Fact Book'!$A$3,"State","TN","type",3,"Type2","Four-Year")</f>
        <v>769996</v>
      </c>
      <c r="G17" s="257">
        <f>GETPIVOTDATA("Sum of NEW-Tot UG SCH Calc",'Pivot Table for Fact Book'!$A$3,"State","TN","type",3,"Type2","Four-Year")</f>
        <v>779533</v>
      </c>
      <c r="H17" s="256">
        <f>GETPIVOTDATA("Sum of OLD-Tot UG SCH Calc",'Pivot Table for Fact Book'!$A$3,"State","TN","type",4,"Type2","Four-Year")</f>
        <v>0</v>
      </c>
      <c r="I17" s="257">
        <f>GETPIVOTDATA("Sum of NEW-Tot UG SCH Calc",'Pivot Table for Fact Book'!$A$3,"State","TN","type",4,"Type2","Four-Year")</f>
        <v>0</v>
      </c>
      <c r="J17" s="256">
        <f>GETPIVOTDATA("Sum of OLD-Tot UG SCH Calc",'Pivot Table for Fact Book'!$A$3,"State","TN","type",5,"Type2","Four-Year")</f>
        <v>164451</v>
      </c>
      <c r="K17" s="257">
        <f>GETPIVOTDATA("Sum of NEW-Tot UG SCH Calc",'Pivot Table for Fact Book'!$A$3,"State","TN","type",5,"Type2","Four-Year")</f>
        <v>164329</v>
      </c>
      <c r="L17" s="256">
        <f>GETPIVOTDATA("Sum of OLD-Tot UG SCH Calc",'Pivot Table for Fact Book'!$A$3,"State","TN","type",6,"Type2","Four-Year")</f>
        <v>0</v>
      </c>
      <c r="M17" s="257">
        <f>GETPIVOTDATA("Sum of NEW-Tot UG SCH Calc",'Pivot Table for Fact Book'!$A$3,"State","TN","type",6,"Type2","Four-Year")</f>
        <v>0</v>
      </c>
      <c r="N17" s="256">
        <f>GETPIVOTDATA("Sum of OLD-Tot UG SCH Calc",'Pivot Table for Fact Book'!$A$3,"State","TN","type",15,"Type2","Four-Year")</f>
        <v>0</v>
      </c>
      <c r="O17" s="257">
        <f>GETPIVOTDATA("Sum of NEW-Tot UG SCH Calc",'Pivot Table for Fact Book'!$A$3,"State","TN","type",15,"Type2","Four-Year")</f>
        <v>0</v>
      </c>
      <c r="P17" s="258">
        <f>GETPIVOTDATA("Sum of OLD-Tot UG SCH Calc",'Pivot Table for Fact Book'!$A$3,"State","TN","Type2","Four-Year")</f>
        <v>2953454</v>
      </c>
      <c r="Q17" s="258">
        <f>GETPIVOTDATA("Sum of NEW-Tot UG SCH Calc",'Pivot Table for Fact Book'!$A$3,"State","TN","Type2","Four-Year")</f>
        <v>2950227</v>
      </c>
      <c r="R17" s="256">
        <f>GETPIVOTDATA("Sum of OLD-Tot UG SCH Calc",'Pivot Table for Fact Book'!$A$3,"State","TN","type",7,"Type2","Two-Year")</f>
        <v>0</v>
      </c>
      <c r="S17" s="257">
        <f>GETPIVOTDATA("Sum of NEW-Tot UG SCH Calc",'Pivot Table for Fact Book'!$A$3,"State","TN","type",7,"Type2","Two-Year")</f>
        <v>0</v>
      </c>
      <c r="T17" s="257">
        <f>GETPIVOTDATA("Sum of OLD-Tot UG SCH Calc",'Pivot Table for Fact Book'!$A$3,"State","TN","type",8,"Type2","Two-Year")</f>
        <v>871296</v>
      </c>
      <c r="U17" s="257">
        <f>GETPIVOTDATA("Sum of NEW-Tot UG SCH Calc",'Pivot Table for Fact Book'!$A$3,"State","TN","type",8,"Type2","Two-Year")</f>
        <v>883513</v>
      </c>
      <c r="V17" s="257">
        <f>GETPIVOTDATA("Sum of OLD-Tot UG SCH Calc",'Pivot Table for Fact Book'!$A$3,"State","TN","type",9,"Type2","Two-Year")</f>
        <v>737823</v>
      </c>
      <c r="W17" s="257">
        <f>GETPIVOTDATA("Sum of NEW-Tot UG SCH Calc",'Pivot Table for Fact Book'!$A$3,"State","TN","type",9,"Type2","Two-Year")</f>
        <v>751064</v>
      </c>
      <c r="X17" s="257">
        <f>GETPIVOTDATA("Sum of OLD-Tot UG SCH Calc",'Pivot Table for Fact Book'!$A$3,"State","TN","type",10,"Type2","Two-Year")</f>
        <v>50263</v>
      </c>
      <c r="Y17" s="257">
        <f>GETPIVOTDATA("Sum of NEW-Tot UG SCH Calc",'Pivot Table for Fact Book'!$A$3,"State","TN","type",10,"Type2","Two-Year")</f>
        <v>51313</v>
      </c>
      <c r="Z17" s="259">
        <f>GETPIVOTDATA("Sum of OLD-Tot UG SCH Calc",'Pivot Table for Fact Book'!$A$3,"State","TN","Type2","Two-Year")</f>
        <v>1659382</v>
      </c>
      <c r="AA17" s="259">
        <f>GETPIVOTDATA("Sum of NEW-Tot UG SCH Calc",'Pivot Table for Fact Book'!$A$3,"State","TN","Type2","Two-Year")</f>
        <v>1685890</v>
      </c>
      <c r="AB17" s="256">
        <f>+GETPIVOTDATA("Sum of OLD-Tot UG SCH Calc",'Pivot Table for Fact Book'!$A$3,"State","TN","type",12,"type2","Techncial")</f>
        <v>0</v>
      </c>
      <c r="AC17" s="257">
        <f>+GETPIVOTDATA("Sum of NEW-Tot UG SCH Calc",'Pivot Table for Fact Book'!$A$3,"State","TN","type",12,"type2","Techncial")</f>
        <v>0</v>
      </c>
      <c r="AD17" s="256">
        <f>+GETPIVOTDATA("Sum of OLD-Tot UG SCH Calc",'Pivot Table for Fact Book'!$A$3,"State","TN","type",13,"type2","Techncial")</f>
        <v>0</v>
      </c>
      <c r="AE17" s="257">
        <f>+GETPIVOTDATA("Sum of NEW-Tot UG SCH Calc",'Pivot Table for Fact Book'!$A$3,"State","TN","type",13,"type2","Techncial")</f>
        <v>0</v>
      </c>
      <c r="AF17" s="260">
        <f>+GETPIVOTDATA("Sum of OLD-Tot UG SCH Calc",'Pivot Table for Fact Book'!$A$3,"State","TN","type2","Techncial")</f>
        <v>0</v>
      </c>
      <c r="AG17" s="261">
        <f>+GETPIVOTDATA("Sum of NEW-Tot UG SCH Calc",'Pivot Table for Fact Book'!$A$3,"State","TN","type2","Techncial")</f>
        <v>0</v>
      </c>
    </row>
    <row r="18" spans="1:33">
      <c r="A18" s="269" t="s">
        <v>838</v>
      </c>
      <c r="B18" s="256">
        <f>GETPIVOTDATA("Sum of OLD-Tot UG SCH Calc",'Pivot Table for Fact Book'!$A$3,"State","TX","type",1,"Type2","Four-Year")</f>
        <v>6791283</v>
      </c>
      <c r="C18" s="257">
        <f>GETPIVOTDATA("Sum of NEW-Tot UG SCH Calc",'Pivot Table for Fact Book'!$A$3,"State","TX","type",1,"Type2","Four-Year")</f>
        <v>6997431</v>
      </c>
      <c r="D18" s="256">
        <f>GETPIVOTDATA("Sum of OLD-Tot UG SCH Calc",'Pivot Table for Fact Book'!$A$3,"State","TX","type",2,"Type2","Four-Year")</f>
        <v>1626698</v>
      </c>
      <c r="E18" s="257">
        <f>GETPIVOTDATA("Sum of NEW-Tot UG SCH Calc",'Pivot Table for Fact Book'!$A$3,"State","TX","type",2,"Type2","Four-Year")</f>
        <v>1641097</v>
      </c>
      <c r="F18" s="256">
        <f>GETPIVOTDATA("Sum of OLD-Tot UG SCH Calc",'Pivot Table for Fact Book'!$A$3,"State","TX","type",3,"Type2","Four-Year")</f>
        <v>4052889</v>
      </c>
      <c r="G18" s="257">
        <f>GETPIVOTDATA("Sum of NEW-Tot UG SCH Calc",'Pivot Table for Fact Book'!$A$3,"State","TX","type",3,"Type2","Four-Year")</f>
        <v>4121282</v>
      </c>
      <c r="H18" s="256">
        <f>GETPIVOTDATA("Sum of OLD-Tot UG SCH Calc",'Pivot Table for Fact Book'!$A$3,"State","TX","type",4,"Type2","Four-Year")</f>
        <v>149227</v>
      </c>
      <c r="I18" s="257">
        <f>GETPIVOTDATA("Sum of NEW-Tot UG SCH Calc",'Pivot Table for Fact Book'!$A$3,"State","TX","type",4,"Type2","Four-Year")</f>
        <v>152525</v>
      </c>
      <c r="J18" s="256">
        <f>GETPIVOTDATA("Sum of OLD-Tot UG SCH Calc",'Pivot Table for Fact Book'!$A$3,"State","TX","type",5,"Type2","Four-Year")</f>
        <v>447101</v>
      </c>
      <c r="K18" s="257">
        <f>GETPIVOTDATA("Sum of NEW-Tot UG SCH Calc",'Pivot Table for Fact Book'!$A$3,"State","TX","type",5,"Type2","Four-Year")</f>
        <v>456644</v>
      </c>
      <c r="L18" s="256">
        <f>GETPIVOTDATA("Sum of OLD-Tot UG SCH Calc",'Pivot Table for Fact Book'!$A$3,"State","TX","type",6,"Type2","Four-Year")</f>
        <v>0</v>
      </c>
      <c r="M18" s="257">
        <f>GETPIVOTDATA("Sum of NEW-Tot UG SCH Calc",'Pivot Table for Fact Book'!$A$3,"State","TX","type",6,"Type2","Four-Year")</f>
        <v>0</v>
      </c>
      <c r="N18" s="256">
        <f>GETPIVOTDATA("Sum of OLD-Tot UG SCH Calc",'Pivot Table for Fact Book'!$A$3,"State","TX","type",15,"Type2","Four-Year")</f>
        <v>0</v>
      </c>
      <c r="O18" s="257">
        <f>GETPIVOTDATA("Sum of NEW-Tot UG SCH Calc",'Pivot Table for Fact Book'!$A$3,"State","TX","type",15,"Type2","Four-Year")</f>
        <v>0</v>
      </c>
      <c r="P18" s="258">
        <f>GETPIVOTDATA("Sum of OLD-Tot UG SCH Calc",'Pivot Table for Fact Book'!$A$3,"State","TX","Type2","Four-Year")</f>
        <v>13067198</v>
      </c>
      <c r="Q18" s="258">
        <f>GETPIVOTDATA("Sum of NEW-Tot UG SCH Calc",'Pivot Table for Fact Book'!$A$3,"State","TX","Type2","Four-Year")</f>
        <v>13368979</v>
      </c>
      <c r="R18" s="256">
        <f>GETPIVOTDATA("Sum of OLD-Tot UG SCH Calc",'Pivot Table for Fact Book'!$A$3,"State","TX","type",7,"Type2","Two-Year")</f>
        <v>807871</v>
      </c>
      <c r="S18" s="257">
        <f>GETPIVOTDATA("Sum of NEW-Tot UG SCH Calc",'Pivot Table for Fact Book'!$A$3,"State","TX","type",7,"Type2","Two-Year")</f>
        <v>802255</v>
      </c>
      <c r="T18" s="257">
        <f>GETPIVOTDATA("Sum of OLD-Tot UG SCH Calc",'Pivot Table for Fact Book'!$A$3,"State","TX","type",8,"Type2","Two-Year")</f>
        <v>10205854</v>
      </c>
      <c r="U18" s="257">
        <f>GETPIVOTDATA("Sum of NEW-Tot UG SCH Calc",'Pivot Table for Fact Book'!$A$3,"State","TX","type",8,"Type2","Two-Year")</f>
        <v>10490298</v>
      </c>
      <c r="V18" s="257">
        <f>GETPIVOTDATA("Sum of OLD-Tot UG SCH Calc",'Pivot Table for Fact Book'!$A$3,"State","TX","type",9,"Type2","Two-Year")</f>
        <v>2358744</v>
      </c>
      <c r="W18" s="257">
        <f>GETPIVOTDATA("Sum of NEW-Tot UG SCH Calc",'Pivot Table for Fact Book'!$A$3,"State","TX","type",9,"Type2","Two-Year")</f>
        <v>2363386</v>
      </c>
      <c r="X18" s="257">
        <f>GETPIVOTDATA("Sum of OLD-Tot UG SCH Calc",'Pivot Table for Fact Book'!$A$3,"State","TX","type",10,"Type2","Two-Year")</f>
        <v>522054</v>
      </c>
      <c r="Y18" s="257">
        <f>GETPIVOTDATA("Sum of NEW-Tot UG SCH Calc",'Pivot Table for Fact Book'!$A$3,"State","TX","type",10,"Type2","Two-Year")</f>
        <v>548238</v>
      </c>
      <c r="Z18" s="259">
        <f>GETPIVOTDATA("Sum of OLD-Tot UG SCH Calc",'Pivot Table for Fact Book'!$A$3,"State","TX","Type2","Two-Year")</f>
        <v>13894523</v>
      </c>
      <c r="AA18" s="259">
        <f>GETPIVOTDATA("Sum of NEW-Tot UG SCH Calc",'Pivot Table for Fact Book'!$A$3,"State","TX","Type2","Two-Year")</f>
        <v>14204177</v>
      </c>
      <c r="AB18" s="256">
        <f>+GETPIVOTDATA("Sum of OLD-Tot UG SCH Calc",'Pivot Table for Fact Book'!$A$3,"State","TX","type",12,"type2","Techncial")</f>
        <v>0</v>
      </c>
      <c r="AC18" s="257">
        <f>+GETPIVOTDATA("Sum of NEW-Tot UG SCH Calc",'Pivot Table for Fact Book'!$A$3,"State","TX","type",12,"type2","Techncial")</f>
        <v>0</v>
      </c>
      <c r="AD18" s="256">
        <f>+GETPIVOTDATA("Sum of OLD-Tot UG SCH Calc",'Pivot Table for Fact Book'!$A$3,"State","TX","type",13,"type2","Techncial")</f>
        <v>0</v>
      </c>
      <c r="AE18" s="257">
        <f>+GETPIVOTDATA("Sum of NEW-Tot UG SCH Calc",'Pivot Table for Fact Book'!$A$3,"State","TX","type",13,"type2","Techncial")</f>
        <v>0</v>
      </c>
      <c r="AF18" s="260">
        <f>+GETPIVOTDATA("Sum of OLD-Tot UG SCH Calc",'Pivot Table for Fact Book'!$A$3,"State","TX","type2","Techncial")</f>
        <v>0</v>
      </c>
      <c r="AG18" s="261">
        <f>+GETPIVOTDATA("Sum of NEW-Tot UG SCH Calc",'Pivot Table for Fact Book'!$A$3,"State","TX","type2","Techncial")</f>
        <v>0</v>
      </c>
    </row>
    <row r="19" spans="1:33">
      <c r="A19" s="269" t="s">
        <v>839</v>
      </c>
      <c r="B19" s="256">
        <f>GETPIVOTDATA("Sum of OLD-Tot UG SCH Calc",'Pivot Table for Fact Book'!$A$3,"State","VA","type",1,"Type2","Four-Year")</f>
        <v>3178344.5</v>
      </c>
      <c r="C19" s="257">
        <f>GETPIVOTDATA("Sum of NEW-Tot UG SCH Calc",'Pivot Table for Fact Book'!$A$3,"State","VA","type",1,"Type2","Four-Year")</f>
        <v>3230412</v>
      </c>
      <c r="D19" s="256">
        <f>GETPIVOTDATA("Sum of OLD-Tot UG SCH Calc",'Pivot Table for Fact Book'!$A$3,"State","VA","type",2,"Type2","Four-Year")</f>
        <v>186460.5</v>
      </c>
      <c r="E19" s="257">
        <f>GETPIVOTDATA("Sum of NEW-Tot UG SCH Calc",'Pivot Table for Fact Book'!$A$3,"State","VA","type",2,"Type2","Four-Year")</f>
        <v>186440.5</v>
      </c>
      <c r="F19" s="256">
        <f>GETPIVOTDATA("Sum of OLD-Tot UG SCH Calc",'Pivot Table for Fact Book'!$A$3,"State","VA","type",3,"Type2","Four-Year")</f>
        <v>1342365.1</v>
      </c>
      <c r="G19" s="257">
        <f>GETPIVOTDATA("Sum of NEW-Tot UG SCH Calc",'Pivot Table for Fact Book'!$A$3,"State","VA","type",3,"Type2","Four-Year")</f>
        <v>1327865.7</v>
      </c>
      <c r="H19" s="256">
        <f>GETPIVOTDATA("Sum of OLD-Tot UG SCH Calc",'Pivot Table for Fact Book'!$A$3,"State","VA","type",4,"Type2","Four-Year")</f>
        <v>0</v>
      </c>
      <c r="I19" s="257">
        <f>GETPIVOTDATA("Sum of NEW-Tot UG SCH Calc",'Pivot Table for Fact Book'!$A$3,"State","VA","type",4,"Type2","Four-Year")</f>
        <v>0</v>
      </c>
      <c r="J19" s="256">
        <f>GETPIVOTDATA("Sum of OLD-Tot UG SCH Calc",'Pivot Table for Fact Book'!$A$3,"State","VA","type",5,"Type2","Four-Year")</f>
        <v>144046</v>
      </c>
      <c r="K19" s="257">
        <f>GETPIVOTDATA("Sum of NEW-Tot UG SCH Calc",'Pivot Table for Fact Book'!$A$3,"State","VA","type",5,"Type2","Four-Year")</f>
        <v>141653</v>
      </c>
      <c r="L19" s="256">
        <f>GETPIVOTDATA("Sum of OLD-Tot UG SCH Calc",'Pivot Table for Fact Book'!$A$3,"State","VA","type",6,"Type2","Four-Year")</f>
        <v>47928</v>
      </c>
      <c r="M19" s="257">
        <f>GETPIVOTDATA("Sum of NEW-Tot UG SCH Calc",'Pivot Table for Fact Book'!$A$3,"State","VA","type",6,"Type2","Four-Year")</f>
        <v>46337</v>
      </c>
      <c r="N19" s="256">
        <f>GETPIVOTDATA("Sum of OLD-Tot UG SCH Calc",'Pivot Table for Fact Book'!$A$3,"State","VA","type",15,"Type2","Four-Year")</f>
        <v>0</v>
      </c>
      <c r="O19" s="257">
        <f>GETPIVOTDATA("Sum of NEW-Tot UG SCH Calc",'Pivot Table for Fact Book'!$A$3,"State","VA","type",15,"Type2","Four-Year")</f>
        <v>0</v>
      </c>
      <c r="P19" s="258">
        <f>GETPIVOTDATA("Sum of OLD-Tot UG SCH Calc",'Pivot Table for Fact Book'!$A$3,"State","VA","Type2","Four-Year")</f>
        <v>4899144.0999999996</v>
      </c>
      <c r="Q19" s="258">
        <f>GETPIVOTDATA("Sum of NEW-Tot UG SCH Calc",'Pivot Table for Fact Book'!$A$3,"State","VA","Type2","Four-Year")</f>
        <v>4932708.2</v>
      </c>
      <c r="R19" s="256">
        <f>GETPIVOTDATA("Sum of OLD-Tot UG SCH Calc",'Pivot Table for Fact Book'!$A$3,"State","VA","type",7,"Type2","Two-Year")</f>
        <v>0</v>
      </c>
      <c r="S19" s="257">
        <f>GETPIVOTDATA("Sum of NEW-Tot UG SCH Calc",'Pivot Table for Fact Book'!$A$3,"State","VA","type",7,"Type2","Two-Year")</f>
        <v>0</v>
      </c>
      <c r="T19" s="257">
        <f>GETPIVOTDATA("Sum of OLD-Tot UG SCH Calc",'Pivot Table for Fact Book'!$A$3,"State","VA","type",8,"Type2","Two-Year")</f>
        <v>1949172</v>
      </c>
      <c r="U19" s="257">
        <f>GETPIVOTDATA("Sum of NEW-Tot UG SCH Calc",'Pivot Table for Fact Book'!$A$3,"State","VA","type",8,"Type2","Two-Year")</f>
        <v>1865790</v>
      </c>
      <c r="V19" s="257">
        <f>GETPIVOTDATA("Sum of OLD-Tot UG SCH Calc",'Pivot Table for Fact Book'!$A$3,"State","VA","type",9,"Type2","Two-Year")</f>
        <v>753338</v>
      </c>
      <c r="W19" s="257">
        <f>GETPIVOTDATA("Sum of NEW-Tot UG SCH Calc",'Pivot Table for Fact Book'!$A$3,"State","VA","type",9,"Type2","Two-Year")</f>
        <v>736738</v>
      </c>
      <c r="X19" s="257">
        <f>GETPIVOTDATA("Sum of OLD-Tot UG SCH Calc",'Pivot Table for Fact Book'!$A$3,"State","VA","type",10,"Type2","Two-Year")</f>
        <v>449938</v>
      </c>
      <c r="Y19" s="257">
        <f>GETPIVOTDATA("Sum of NEW-Tot UG SCH Calc",'Pivot Table for Fact Book'!$A$3,"State","VA","type",10,"Type2","Two-Year")</f>
        <v>434992</v>
      </c>
      <c r="Z19" s="259">
        <f>GETPIVOTDATA("Sum of OLD-Tot UG SCH Calc",'Pivot Table for Fact Book'!$A$3,"State","VA","Type2","Two-Year")</f>
        <v>3152448</v>
      </c>
      <c r="AA19" s="259">
        <f>GETPIVOTDATA("Sum of NEW-Tot UG SCH Calc",'Pivot Table for Fact Book'!$A$3,"State","VA","Type2","Two-Year")</f>
        <v>3037520</v>
      </c>
      <c r="AB19" s="256">
        <f>+GETPIVOTDATA("Sum of OLD-Tot UG SCH Calc",'Pivot Table for Fact Book'!$A$3,"State","VA","type",12,"type2","Techncial")</f>
        <v>0</v>
      </c>
      <c r="AC19" s="257">
        <f>+GETPIVOTDATA("Sum of NEW-Tot UG SCH Calc",'Pivot Table for Fact Book'!$A$3,"State","VA","type",12,"type2","Techncial")</f>
        <v>0</v>
      </c>
      <c r="AD19" s="256">
        <f>+GETPIVOTDATA("Sum of OLD-Tot UG SCH Calc",'Pivot Table for Fact Book'!$A$3,"State","VA","type",13,"type2","Techncial")</f>
        <v>0</v>
      </c>
      <c r="AE19" s="257">
        <f>+GETPIVOTDATA("Sum of NEW-Tot UG SCH Calc",'Pivot Table for Fact Book'!$A$3,"State","VA","type",13,"type2","Techncial")</f>
        <v>0</v>
      </c>
      <c r="AF19" s="260">
        <f>+GETPIVOTDATA("Sum of OLD-Tot UG SCH Calc",'Pivot Table for Fact Book'!$A$3,"State","VA","type2","Techncial")</f>
        <v>0</v>
      </c>
      <c r="AG19" s="261">
        <f>+GETPIVOTDATA("Sum of NEW-Tot UG SCH Calc",'Pivot Table for Fact Book'!$A$3,"State","VA","type2","Techncial")</f>
        <v>0</v>
      </c>
    </row>
    <row r="20" spans="1:33">
      <c r="A20" s="290" t="s">
        <v>840</v>
      </c>
      <c r="B20" s="262">
        <f>GETPIVOTDATA("Sum of OLD-Tot UG SCH Calc",'Pivot Table for Fact Book'!$A$3,"State","WV","type",1,"Type2","Four-Year")</f>
        <v>652521</v>
      </c>
      <c r="C20" s="263">
        <f>GETPIVOTDATA("Sum of NEW-Tot UG SCH Calc",'Pivot Table for Fact Book'!$A$3,"State","WV","type",1,"Type2","Four-Year")</f>
        <v>625795</v>
      </c>
      <c r="D20" s="262">
        <f>GETPIVOTDATA("Sum of OLD-Tot UG SCH Calc",'Pivot Table for Fact Book'!$A$3,"State","WV","type",2,"Type2","Four-Year")</f>
        <v>0</v>
      </c>
      <c r="E20" s="263">
        <f>GETPIVOTDATA("Sum of NEW-Tot UG SCH Calc",'Pivot Table for Fact Book'!$A$3,"State","WV","type",2,"Type2","Four-Year")</f>
        <v>0</v>
      </c>
      <c r="F20" s="262">
        <f>GETPIVOTDATA("Sum of OLD-Tot UG SCH Calc",'Pivot Table for Fact Book'!$A$3,"State","WV","type",3,"Type2","Four-Year")</f>
        <v>261348</v>
      </c>
      <c r="G20" s="263">
        <f>GETPIVOTDATA("Sum of NEW-Tot UG SCH Calc",'Pivot Table for Fact Book'!$A$3,"State","WV","type",3,"Type2","Four-Year")</f>
        <v>256593</v>
      </c>
      <c r="H20" s="262">
        <f>GETPIVOTDATA("Sum of OLD-Tot UG SCH Calc",'Pivot Table for Fact Book'!$A$3,"State","WV","type",4,"Type2","Four-Year")</f>
        <v>0</v>
      </c>
      <c r="I20" s="263">
        <f>GETPIVOTDATA("Sum of NEW-Tot UG SCH Calc",'Pivot Table for Fact Book'!$A$3,"State","WV","type",4,"Type2","Four-Year")</f>
        <v>0</v>
      </c>
      <c r="J20" s="262">
        <f>GETPIVOTDATA("Sum of OLD-Tot UG SCH Calc",'Pivot Table for Fact Book'!$A$3,"State","WV","type",5,"Type2","Four-Year")</f>
        <v>304438</v>
      </c>
      <c r="K20" s="263">
        <f>GETPIVOTDATA("Sum of NEW-Tot UG SCH Calc",'Pivot Table for Fact Book'!$A$3,"State","WV","type",5,"Type2","Four-Year")</f>
        <v>297148</v>
      </c>
      <c r="L20" s="262">
        <f>GETPIVOTDATA("Sum of OLD-Tot UG SCH Calc",'Pivot Table for Fact Book'!$A$3,"State","WV","type",6,"Type2","Four-Year")</f>
        <v>177089</v>
      </c>
      <c r="M20" s="263">
        <f>GETPIVOTDATA("Sum of NEW-Tot UG SCH Calc",'Pivot Table for Fact Book'!$A$3,"State","WV","type",6,"Type2","Four-Year")</f>
        <v>177494</v>
      </c>
      <c r="N20" s="262">
        <f>GETPIVOTDATA("Sum of OLD-Tot UG SCH Calc",'Pivot Table for Fact Book'!$A$3,"State","WV","type",15,"Type2","Four-Year")</f>
        <v>0</v>
      </c>
      <c r="O20" s="263">
        <f>GETPIVOTDATA("Sum of NEW-Tot UG SCH Calc",'Pivot Table for Fact Book'!$A$3,"State","WV","type",15,"Type2","Four-Year")</f>
        <v>0</v>
      </c>
      <c r="P20" s="264">
        <f>GETPIVOTDATA("Sum of OLD-Tot UG SCH Calc",'Pivot Table for Fact Book'!$A$3,"State","WV","Type2","Four-Year")</f>
        <v>1395396</v>
      </c>
      <c r="Q20" s="264">
        <f>GETPIVOTDATA("Sum of NEW-Tot UG SCH Calc",'Pivot Table for Fact Book'!$A$3,"State","WV","Type2","Four-Year")</f>
        <v>1357030</v>
      </c>
      <c r="R20" s="262">
        <f>GETPIVOTDATA("Sum of OLD-Tot UG SCH Calc",'Pivot Table for Fact Book'!$A$3,"State","WV","type",7,"Type2","Two-Year")</f>
        <v>91128</v>
      </c>
      <c r="S20" s="263">
        <f>GETPIVOTDATA("Sum of NEW-Tot UG SCH Calc",'Pivot Table for Fact Book'!$A$3,"State","WV","type",7,"Type2","Two-Year")</f>
        <v>87136</v>
      </c>
      <c r="T20" s="263">
        <f>GETPIVOTDATA("Sum of OLD-Tot UG SCH Calc",'Pivot Table for Fact Book'!$A$3,"State","WV","type",8,"Type2","Two-Year")</f>
        <v>0</v>
      </c>
      <c r="U20" s="263">
        <f>GETPIVOTDATA("Sum of NEW-Tot UG SCH Calc",'Pivot Table for Fact Book'!$A$3,"State","WV","type",8,"Type2","Two-Year")</f>
        <v>0</v>
      </c>
      <c r="V20" s="263">
        <f>GETPIVOTDATA("Sum of OLD-Tot UG SCH Calc",'Pivot Table for Fact Book'!$A$3,"State","WV","type",9,"Type2","Two-Year")</f>
        <v>0</v>
      </c>
      <c r="W20" s="263">
        <f>GETPIVOTDATA("Sum of NEW-Tot UG SCH Calc",'Pivot Table for Fact Book'!$A$3,"State","WV","type",9,"Type2","Two-Year")</f>
        <v>0</v>
      </c>
      <c r="X20" s="263">
        <f>GETPIVOTDATA("Sum of OLD-Tot UG SCH Calc",'Pivot Table for Fact Book'!$A$3,"State","WV","type",10,"Type2","Two-Year")</f>
        <v>292771</v>
      </c>
      <c r="Y20" s="263">
        <f>GETPIVOTDATA("Sum of NEW-Tot UG SCH Calc",'Pivot Table for Fact Book'!$A$3,"State","WV","type",10,"Type2","Two-Year")</f>
        <v>282461</v>
      </c>
      <c r="Z20" s="265">
        <f>GETPIVOTDATA("Sum of OLD-Tot UG SCH Calc",'Pivot Table for Fact Book'!$A$3,"State","WV","Type2","Two-Year")</f>
        <v>383899</v>
      </c>
      <c r="AA20" s="265">
        <f>GETPIVOTDATA("Sum of NEW-Tot UG SCH Calc",'Pivot Table for Fact Book'!$A$3,"State","WV","Type2","Two-Year")</f>
        <v>369597</v>
      </c>
      <c r="AB20" s="262">
        <f>+GETPIVOTDATA("Sum of OLD-Tot UG SCH Calc",'Pivot Table for Fact Book'!$A$3,"State","WV","type",12,"type2","Techncial")</f>
        <v>0</v>
      </c>
      <c r="AC20" s="263">
        <f>+GETPIVOTDATA("Sum of NEW-Tot UG SCH Calc",'Pivot Table for Fact Book'!$A$3,"State","WV","type",12,"type2","Techncial")</f>
        <v>0</v>
      </c>
      <c r="AD20" s="262">
        <f>+GETPIVOTDATA("Sum of OLD-Tot UG SCH Calc",'Pivot Table for Fact Book'!$A$3,"State","WV","type",13,"type2","Techncial")</f>
        <v>0</v>
      </c>
      <c r="AE20" s="263">
        <f>+GETPIVOTDATA("Sum of NEW-Tot UG SCH Calc",'Pivot Table for Fact Book'!$A$3,"State","WV","type",13,"type2","Techncial")</f>
        <v>0</v>
      </c>
      <c r="AF20" s="266">
        <f>+GETPIVOTDATA("Sum of OLD-Tot UG SCH Calc",'Pivot Table for Fact Book'!$A$3,"State","WV","type2","Techncial")</f>
        <v>0</v>
      </c>
      <c r="AG20" s="267">
        <f>+GETPIVOTDATA("Sum of NEW-Tot UG SCH Calc",'Pivot Table for Fact Book'!$A$3,"State","WV","type2","Techncial")</f>
        <v>0</v>
      </c>
    </row>
    <row r="22" spans="1:33">
      <c r="A22" s="268" t="s">
        <v>841</v>
      </c>
    </row>
    <row r="23" spans="1:33">
      <c r="B23" s="270" t="s">
        <v>821</v>
      </c>
      <c r="C23" s="271"/>
      <c r="D23" s="271"/>
      <c r="E23" s="271"/>
      <c r="F23" s="271"/>
      <c r="G23" s="271"/>
      <c r="H23" s="271"/>
      <c r="I23" s="271"/>
      <c r="J23" s="271"/>
      <c r="K23" s="271"/>
      <c r="L23" s="271"/>
      <c r="M23" s="271"/>
      <c r="N23" s="271"/>
      <c r="O23" s="271"/>
      <c r="P23" s="271"/>
      <c r="Q23" s="271"/>
      <c r="R23" s="272" t="s">
        <v>822</v>
      </c>
      <c r="S23" s="273"/>
      <c r="T23" s="273"/>
      <c r="U23" s="273"/>
      <c r="V23" s="273"/>
      <c r="W23" s="273"/>
      <c r="X23" s="273"/>
      <c r="Y23" s="273"/>
      <c r="Z23" s="273"/>
      <c r="AA23" s="273"/>
      <c r="AB23" s="274" t="s">
        <v>823</v>
      </c>
      <c r="AC23" s="275"/>
      <c r="AD23" s="275"/>
      <c r="AE23" s="275"/>
      <c r="AF23" s="275"/>
      <c r="AG23" s="275"/>
    </row>
    <row r="24" spans="1:33">
      <c r="B24" s="276">
        <v>1</v>
      </c>
      <c r="C24" s="277"/>
      <c r="D24" s="276">
        <v>2</v>
      </c>
      <c r="E24" s="277"/>
      <c r="F24" s="276">
        <v>3</v>
      </c>
      <c r="G24" s="277"/>
      <c r="H24" s="276">
        <v>4</v>
      </c>
      <c r="I24" s="277"/>
      <c r="J24" s="276">
        <v>5</v>
      </c>
      <c r="K24" s="277"/>
      <c r="L24" s="276">
        <v>6</v>
      </c>
      <c r="M24" s="277"/>
      <c r="N24" s="276">
        <v>15</v>
      </c>
      <c r="O24" s="277"/>
      <c r="P24" s="276" t="s">
        <v>824</v>
      </c>
      <c r="Q24" s="278"/>
      <c r="R24" s="279">
        <v>7</v>
      </c>
      <c r="S24" s="280"/>
      <c r="T24" s="279">
        <v>8</v>
      </c>
      <c r="U24" s="280"/>
      <c r="V24" s="279">
        <v>9</v>
      </c>
      <c r="W24" s="280"/>
      <c r="X24" s="279">
        <v>10</v>
      </c>
      <c r="Y24" s="280"/>
      <c r="Z24" s="279" t="s">
        <v>824</v>
      </c>
      <c r="AA24" s="280"/>
      <c r="AB24" s="281">
        <v>12</v>
      </c>
      <c r="AC24" s="282"/>
      <c r="AD24" s="281">
        <v>13</v>
      </c>
      <c r="AE24" s="282"/>
      <c r="AF24" s="281" t="s">
        <v>824</v>
      </c>
      <c r="AG24" s="282"/>
    </row>
    <row r="25" spans="1:33" s="292" customFormat="1">
      <c r="A25" s="291"/>
      <c r="B25" s="284">
        <v>2014</v>
      </c>
      <c r="C25" s="285">
        <v>2015</v>
      </c>
      <c r="D25" s="284">
        <v>2014</v>
      </c>
      <c r="E25" s="285">
        <v>2015</v>
      </c>
      <c r="F25" s="284">
        <v>2014</v>
      </c>
      <c r="G25" s="285">
        <v>2015</v>
      </c>
      <c r="H25" s="284">
        <v>2014</v>
      </c>
      <c r="I25" s="285">
        <v>2015</v>
      </c>
      <c r="J25" s="284">
        <v>2014</v>
      </c>
      <c r="K25" s="285">
        <v>2015</v>
      </c>
      <c r="L25" s="284">
        <v>2014</v>
      </c>
      <c r="M25" s="285">
        <v>2015</v>
      </c>
      <c r="N25" s="284">
        <v>2014</v>
      </c>
      <c r="O25" s="285">
        <v>2015</v>
      </c>
      <c r="P25" s="284">
        <v>2014</v>
      </c>
      <c r="Q25" s="285">
        <v>2015</v>
      </c>
      <c r="R25" s="286">
        <v>2014</v>
      </c>
      <c r="S25" s="287">
        <v>2015</v>
      </c>
      <c r="T25" s="286">
        <v>2014</v>
      </c>
      <c r="U25" s="287">
        <v>2015</v>
      </c>
      <c r="V25" s="286">
        <v>2014</v>
      </c>
      <c r="W25" s="287">
        <v>2015</v>
      </c>
      <c r="X25" s="286">
        <v>2014</v>
      </c>
      <c r="Y25" s="287">
        <v>2015</v>
      </c>
      <c r="Z25" s="286">
        <v>2014</v>
      </c>
      <c r="AA25" s="287">
        <v>2015</v>
      </c>
      <c r="AB25" s="286">
        <v>2014</v>
      </c>
      <c r="AC25" s="288">
        <v>2015</v>
      </c>
      <c r="AD25" s="286">
        <v>2014</v>
      </c>
      <c r="AE25" s="288">
        <v>2015</v>
      </c>
      <c r="AF25" s="286">
        <v>2014</v>
      </c>
      <c r="AG25" s="288">
        <v>2015</v>
      </c>
    </row>
    <row r="26" spans="1:33">
      <c r="A26" s="269" t="s">
        <v>825</v>
      </c>
      <c r="B26" s="256">
        <f>GETPIVOTDATA("Sum of Old UG E-Learning",'Pivot Table for Fact Book'!$A$3,"State","AL","type",1,"Type2","Four-Year")</f>
        <v>221390</v>
      </c>
      <c r="C26" s="257">
        <f>GETPIVOTDATA("Sum of New UG E-Learning",'Pivot Table for Fact Book'!$A$3,"State","AL","type",1,"Type2","Four-Year")</f>
        <v>245539</v>
      </c>
      <c r="D26" s="256">
        <f>GETPIVOTDATA("Sum of Old UG E-Learning",'Pivot Table for Fact Book'!$A$3,"State","AL","type",2,"Type2","Four-Year")</f>
        <v>48455</v>
      </c>
      <c r="E26" s="257">
        <f>GETPIVOTDATA("Sum of New UG E-Learning",'Pivot Table for Fact Book'!$A$3,"State","AL","type",2,"Type2","Four-Year")</f>
        <v>57916</v>
      </c>
      <c r="F26" s="256">
        <f>GETPIVOTDATA("Sum of Old UG E-Learning",'Pivot Table for Fact Book'!$A$3,"State","AL","type",3,"Type2","Four-Year")</f>
        <v>159668</v>
      </c>
      <c r="G26" s="257">
        <f>GETPIVOTDATA("Sum of New UG E-Learning",'Pivot Table for Fact Book'!$A$3,"State","AL","type",3,"Type2","Four-Year")</f>
        <v>191244</v>
      </c>
      <c r="H26" s="256">
        <f>GETPIVOTDATA("Sum of Old UG E-Learning",'Pivot Table for Fact Book'!$A$3,"State","AL","type",4,"Type2","Four-Year")</f>
        <v>42039</v>
      </c>
      <c r="I26" s="257">
        <f>GETPIVOTDATA("Sum of New UG E-Learning",'Pivot Table for Fact Book'!$A$3,"State","AL","type",4,"Type2","Four-Year")</f>
        <v>46677</v>
      </c>
      <c r="J26" s="256">
        <f>GETPIVOTDATA("Sum of Old UG E-Learning",'Pivot Table for Fact Book'!$A$3,"State","AL","type",5,"Type2","Four-Year")</f>
        <v>12452</v>
      </c>
      <c r="K26" s="257">
        <f>GETPIVOTDATA("Sum of New UG E-Learning",'Pivot Table for Fact Book'!$A$3,"State","AL","type",5,"Type2","Four-Year")</f>
        <v>18257</v>
      </c>
      <c r="L26" s="256">
        <f>GETPIVOTDATA("Sum of Old UG E-Learning",'Pivot Table for Fact Book'!$A$3,"State","AL","type",6,"Type2","Four-Year")</f>
        <v>51676</v>
      </c>
      <c r="M26" s="257">
        <f>GETPIVOTDATA("Sum of New UG E-Learning",'Pivot Table for Fact Book'!$A$3,"State","AL","type",6,"Type2","Four-Year")</f>
        <v>53013</v>
      </c>
      <c r="N26" s="256">
        <f>GETPIVOTDATA("Sum of Old UG E-Learning",'Pivot Table for Fact Book'!$A$3,"State","AL","type",15,"Type2","Four-Year")</f>
        <v>103</v>
      </c>
      <c r="O26" s="257">
        <f>GETPIVOTDATA("Sum of New UG E-Learning",'Pivot Table for Fact Book'!$A$3,"State","AL","type",15,"Type2","Four-Year")</f>
        <v>184</v>
      </c>
      <c r="P26" s="258">
        <f>GETPIVOTDATA("Sum of Old UG E-Learning",'Pivot Table for Fact Book'!$A$3,"State","AL","Type2","Four-Year")</f>
        <v>535783</v>
      </c>
      <c r="Q26" s="258">
        <f>GETPIVOTDATA("Sum of New UG E-Learning",'Pivot Table for Fact Book'!$A$3,"State","AL","Type2","Four-Year")</f>
        <v>612830</v>
      </c>
      <c r="R26" s="256">
        <f>GETPIVOTDATA("Sum of Old UG E-Learning",'Pivot Table for Fact Book'!$A$3,"State","AL","type",7,"Type2","Two-Year")</f>
        <v>0</v>
      </c>
      <c r="S26" s="257">
        <f>GETPIVOTDATA("Sum of New UG E-Learning",'Pivot Table for Fact Book'!$A$3,"State","AL","type",7,"Type2","Two-Year")</f>
        <v>0</v>
      </c>
      <c r="T26" s="257">
        <f>GETPIVOTDATA("Sum of Old UG E-Learning",'Pivot Table for Fact Book'!$A$3,"State","AL","type",8,"Type2","Two-Year")</f>
        <v>119644</v>
      </c>
      <c r="U26" s="257">
        <f>GETPIVOTDATA("Sum of New UG E-Learning",'Pivot Table for Fact Book'!$A$3,"State","AL","type",8,"Type2","Two-Year")</f>
        <v>125103</v>
      </c>
      <c r="V26" s="257">
        <f>GETPIVOTDATA("Sum of Old UG E-Learning",'Pivot Table for Fact Book'!$A$3,"State","AL","type",9,"Type2","Two-Year")</f>
        <v>179634</v>
      </c>
      <c r="W26" s="257">
        <f>GETPIVOTDATA("Sum of New UG E-Learning",'Pivot Table for Fact Book'!$A$3,"State","AL","type",9,"Type2","Two-Year")</f>
        <v>219233</v>
      </c>
      <c r="X26" s="257">
        <f>GETPIVOTDATA("Sum of Old UG E-Learning",'Pivot Table for Fact Book'!$A$3,"State","AL","type",10,"Type2","Two-Year")</f>
        <v>98689</v>
      </c>
      <c r="Y26" s="257">
        <f>GETPIVOTDATA("Sum of New UG E-Learning",'Pivot Table for Fact Book'!$A$3,"State","AL","type",10,"Type2","Two-Year")</f>
        <v>104281</v>
      </c>
      <c r="Z26" s="259">
        <f>GETPIVOTDATA("Sum of Old UG E-Learning",'Pivot Table for Fact Book'!$A$3,"State","AL","Type2","Two-Year")</f>
        <v>397967</v>
      </c>
      <c r="AA26" s="259">
        <f>GETPIVOTDATA("Sum of New UG E-Learning",'Pivot Table for Fact Book'!$A$3,"State","AL","Type2","Two-Year")</f>
        <v>448617</v>
      </c>
      <c r="AB26" s="256">
        <f>+GETPIVOTDATA("Sum of Old UG E-Learning",'Pivot Table for Fact Book'!$A$3,"State","AL","type",12,"type2","Techncial")</f>
        <v>3318</v>
      </c>
      <c r="AC26" s="257">
        <f>+GETPIVOTDATA("Sum of New UG E-Learning",'Pivot Table for Fact Book'!$A$3,"State","AL","type",12,"type2","Techncial")</f>
        <v>3617</v>
      </c>
      <c r="AD26" s="257">
        <f>+GETPIVOTDATA("Sum of Old UG E-Learning",'Pivot Table for Fact Book'!$A$3,"State","AL","type",13,"type2","Techncial")</f>
        <v>4408</v>
      </c>
      <c r="AE26" s="257">
        <f>+GETPIVOTDATA("Sum of New UG E-Learning",'Pivot Table for Fact Book'!$A$3,"State","AL","type",13,"type2","Techncial")</f>
        <v>3796</v>
      </c>
      <c r="AF26" s="261">
        <f>+GETPIVOTDATA("Sum of Old UG E-Learning",'Pivot Table for Fact Book'!$A$3,"State","AL","type2","Techncial")</f>
        <v>7726</v>
      </c>
      <c r="AG26" s="261">
        <f>+GETPIVOTDATA("Sum of New UG E-Learning",'Pivot Table for Fact Book'!$A$3,"State","AL","type2","Techncial")</f>
        <v>7413</v>
      </c>
    </row>
    <row r="27" spans="1:33">
      <c r="A27" s="269" t="s">
        <v>826</v>
      </c>
      <c r="B27" s="256">
        <f>GETPIVOTDATA("Sum of Old UG E-Learning",'Pivot Table for Fact Book'!$A$3,"State","AR","type",1,"Type2","Four-Year")</f>
        <v>56173</v>
      </c>
      <c r="C27" s="257">
        <f>GETPIVOTDATA("Sum of New UG E-Learning",'Pivot Table for Fact Book'!$A$3,"State","AR","type",1,"Type2","Four-Year")</f>
        <v>59032</v>
      </c>
      <c r="D27" s="256">
        <f>GETPIVOTDATA("Sum of Old UG E-Learning",'Pivot Table for Fact Book'!$A$3,"State","AR","type",2,"Type2","Four-Year")</f>
        <v>72114</v>
      </c>
      <c r="E27" s="257">
        <f>GETPIVOTDATA("Sum of New UG E-Learning",'Pivot Table for Fact Book'!$A$3,"State","AR","type",2,"Type2","Four-Year")</f>
        <v>72603</v>
      </c>
      <c r="F27" s="256">
        <f>GETPIVOTDATA("Sum of Old UG E-Learning",'Pivot Table for Fact Book'!$A$3,"State","AR","type",3,"Type2","Four-Year")</f>
        <v>164573</v>
      </c>
      <c r="G27" s="257">
        <f>GETPIVOTDATA("Sum of New UG E-Learning",'Pivot Table for Fact Book'!$A$3,"State","AR","type",3,"Type2","Four-Year")</f>
        <v>170290</v>
      </c>
      <c r="H27" s="256">
        <f>GETPIVOTDATA("Sum of Old UG E-Learning",'Pivot Table for Fact Book'!$A$3,"State","AR","type",4,"Type2","Four-Year")</f>
        <v>32853</v>
      </c>
      <c r="I27" s="257">
        <f>GETPIVOTDATA("Sum of New UG E-Learning",'Pivot Table for Fact Book'!$A$3,"State","AR","type",4,"Type2","Four-Year")</f>
        <v>35422</v>
      </c>
      <c r="J27" s="256">
        <f>GETPIVOTDATA("Sum of Old UG E-Learning",'Pivot Table for Fact Book'!$A$3,"State","AR","type",5,"Type2","Four-Year")</f>
        <v>17537</v>
      </c>
      <c r="K27" s="257">
        <f>GETPIVOTDATA("Sum of New UG E-Learning",'Pivot Table for Fact Book'!$A$3,"State","AR","type",5,"Type2","Four-Year")</f>
        <v>18339</v>
      </c>
      <c r="L27" s="256">
        <f>GETPIVOTDATA("Sum of Old UG E-Learning",'Pivot Table for Fact Book'!$A$3,"State","AR","type",6,"Type2","Four-Year")</f>
        <v>51358</v>
      </c>
      <c r="M27" s="257">
        <f>GETPIVOTDATA("Sum of New UG E-Learning",'Pivot Table for Fact Book'!$A$3,"State","AR","type",6,"Type2","Four-Year")</f>
        <v>53243</v>
      </c>
      <c r="N27" s="256">
        <f>GETPIVOTDATA("Sum of Old UG E-Learning",'Pivot Table for Fact Book'!$A$3,"State","AR","type",15,"Type2","Four-Year")</f>
        <v>5272</v>
      </c>
      <c r="O27" s="257">
        <f>GETPIVOTDATA("Sum of New UG E-Learning",'Pivot Table for Fact Book'!$A$3,"State","AR","type",15,"Type2","Four-Year")</f>
        <v>5278</v>
      </c>
      <c r="P27" s="258">
        <f>GETPIVOTDATA("Sum of Old UG E-Learning",'Pivot Table for Fact Book'!$A$3,"State","AR","Type2","Four-Year")</f>
        <v>399880</v>
      </c>
      <c r="Q27" s="258">
        <f>GETPIVOTDATA("Sum of New UG E-Learning",'Pivot Table for Fact Book'!$A$3,"State","AR","Type2","Four-Year")</f>
        <v>414207</v>
      </c>
      <c r="R27" s="256">
        <f>GETPIVOTDATA("Sum of Old UG E-Learning",'Pivot Table for Fact Book'!$A$3,"State","AR","type",7,"Type2","Two-Year")</f>
        <v>0</v>
      </c>
      <c r="S27" s="257">
        <f>GETPIVOTDATA("Sum of New UG E-Learning",'Pivot Table for Fact Book'!$A$3,"State","AR","type",7,"Type2","Two-Year")</f>
        <v>0</v>
      </c>
      <c r="T27" s="257">
        <f>GETPIVOTDATA("Sum of Old UG E-Learning",'Pivot Table for Fact Book'!$A$3,"State","AR","type",8,"Type2","Two-Year")</f>
        <v>41915</v>
      </c>
      <c r="U27" s="257">
        <f>GETPIVOTDATA("Sum of New UG E-Learning",'Pivot Table for Fact Book'!$A$3,"State","AR","type",8,"Type2","Two-Year")</f>
        <v>42628</v>
      </c>
      <c r="V27" s="257">
        <f>GETPIVOTDATA("Sum of Old UG E-Learning",'Pivot Table for Fact Book'!$A$3,"State","AR","type",9,"Type2","Two-Year")</f>
        <v>62964</v>
      </c>
      <c r="W27" s="257">
        <f>GETPIVOTDATA("Sum of New UG E-Learning",'Pivot Table for Fact Book'!$A$3,"State","AR","type",9,"Type2","Two-Year")</f>
        <v>61938</v>
      </c>
      <c r="X27" s="257">
        <f>GETPIVOTDATA("Sum of Old UG E-Learning",'Pivot Table for Fact Book'!$A$3,"State","AR","type",10,"Type2","Two-Year")</f>
        <v>153951</v>
      </c>
      <c r="Y27" s="257">
        <f>GETPIVOTDATA("Sum of New UG E-Learning",'Pivot Table for Fact Book'!$A$3,"State","AR","type",10,"Type2","Two-Year")</f>
        <v>155326</v>
      </c>
      <c r="Z27" s="259">
        <f>GETPIVOTDATA("Sum of Old UG E-Learning",'Pivot Table for Fact Book'!$A$3,"State","AR","Type2","Two-Year")</f>
        <v>258830</v>
      </c>
      <c r="AA27" s="259">
        <f>GETPIVOTDATA("Sum of New UG E-Learning",'Pivot Table for Fact Book'!$A$3,"State","AR","Type2","Two-Year")</f>
        <v>259892</v>
      </c>
      <c r="AB27" s="256">
        <f>+GETPIVOTDATA("Sum of Old UG E-Learning",'Pivot Table for Fact Book'!$A$3,"State","AR","type",12,"type2","Techncial")</f>
        <v>0</v>
      </c>
      <c r="AC27" s="257">
        <f>+GETPIVOTDATA("Sum of New UG E-Learning",'Pivot Table for Fact Book'!$A$3,"State","AR","type",12,"type2","Techncial")</f>
        <v>0</v>
      </c>
      <c r="AD27" s="257">
        <f>+GETPIVOTDATA("Sum of Old UG E-Learning",'Pivot Table for Fact Book'!$A$3,"State","AR","type",13,"type2","Techncial")</f>
        <v>0</v>
      </c>
      <c r="AE27" s="257">
        <f>+GETPIVOTDATA("Sum of New UG E-Learning",'Pivot Table for Fact Book'!$A$3,"State","AR","type",13,"type2","Techncial")</f>
        <v>0</v>
      </c>
      <c r="AF27" s="261">
        <f>+GETPIVOTDATA("Sum of Old UG E-Learning",'Pivot Table for Fact Book'!$A$3,"State","AR","type2","Techncial")</f>
        <v>0</v>
      </c>
      <c r="AG27" s="261">
        <f>+GETPIVOTDATA("Sum of New UG E-Learning",'Pivot Table for Fact Book'!$A$3,"State","AR","type2","Techncial")</f>
        <v>0</v>
      </c>
    </row>
    <row r="28" spans="1:33">
      <c r="A28" s="269" t="s">
        <v>827</v>
      </c>
      <c r="B28" s="256">
        <f>GETPIVOTDATA("Sum of Old UG E-Learning",'Pivot Table for Fact Book'!$A$3,"State","DE","type",1,"Type2","Four-Year")</f>
        <v>21024</v>
      </c>
      <c r="C28" s="257">
        <f>GETPIVOTDATA("Sum of New UG E-Learning",'Pivot Table for Fact Book'!$A$3,"State","DE","type",1,"Type2","Four-Year")</f>
        <v>22979</v>
      </c>
      <c r="D28" s="256">
        <f>GETPIVOTDATA("Sum of Old UG E-Learning",'Pivot Table for Fact Book'!$A$3,"State","DE","type",2,"Type2","Four-Year")</f>
        <v>0</v>
      </c>
      <c r="E28" s="257">
        <f>GETPIVOTDATA("Sum of New UG E-Learning",'Pivot Table for Fact Book'!$A$3,"State","DE","type",2,"Type2","Four-Year")</f>
        <v>0</v>
      </c>
      <c r="F28" s="256">
        <f>GETPIVOTDATA("Sum of Old UG E-Learning",'Pivot Table for Fact Book'!$A$3,"State","DE","type",3,"Type2","Four-Year")</f>
        <v>6753</v>
      </c>
      <c r="G28" s="257">
        <f>GETPIVOTDATA("Sum of New UG E-Learning",'Pivot Table for Fact Book'!$A$3,"State","DE","type",3,"Type2","Four-Year")</f>
        <v>10455</v>
      </c>
      <c r="H28" s="256">
        <f>GETPIVOTDATA("Sum of Old UG E-Learning",'Pivot Table for Fact Book'!$A$3,"State","DE","type",4,"Type2","Four-Year")</f>
        <v>0</v>
      </c>
      <c r="I28" s="257">
        <f>GETPIVOTDATA("Sum of New UG E-Learning",'Pivot Table for Fact Book'!$A$3,"State","DE","type",4,"Type2","Four-Year")</f>
        <v>0</v>
      </c>
      <c r="J28" s="256">
        <f>GETPIVOTDATA("Sum of Old UG E-Learning",'Pivot Table for Fact Book'!$A$3,"State","DE","type",5,"Type2","Four-Year")</f>
        <v>0</v>
      </c>
      <c r="K28" s="257">
        <f>GETPIVOTDATA("Sum of New UG E-Learning",'Pivot Table for Fact Book'!$A$3,"State","DE","type",5,"Type2","Four-Year")</f>
        <v>0</v>
      </c>
      <c r="L28" s="256">
        <f>GETPIVOTDATA("Sum of Old UG E-Learning",'Pivot Table for Fact Book'!$A$3,"State","DE","type",6,"Type2","Four-Year")</f>
        <v>0</v>
      </c>
      <c r="M28" s="257">
        <f>GETPIVOTDATA("Sum of New UG E-Learning",'Pivot Table for Fact Book'!$A$3,"State","DE","type",6,"Type2","Four-Year")</f>
        <v>0</v>
      </c>
      <c r="N28" s="256">
        <f>GETPIVOTDATA("Sum of Old UG E-Learning",'Pivot Table for Fact Book'!$A$3,"State","DE","type",15,"Type2","Four-Year")</f>
        <v>0</v>
      </c>
      <c r="O28" s="257">
        <f>GETPIVOTDATA("Sum of New UG E-Learning",'Pivot Table for Fact Book'!$A$3,"State","DE","type",15,"Type2","Four-Year")</f>
        <v>0</v>
      </c>
      <c r="P28" s="258">
        <f>GETPIVOTDATA("Sum of Old UG E-Learning",'Pivot Table for Fact Book'!$A$3,"State","DE","Type2","Four-Year")</f>
        <v>27777</v>
      </c>
      <c r="Q28" s="258">
        <f>GETPIVOTDATA("Sum of New UG E-Learning",'Pivot Table for Fact Book'!$A$3,"State","DE","Type2","Four-Year")</f>
        <v>33434</v>
      </c>
      <c r="R28" s="256">
        <f>GETPIVOTDATA("Sum of Old UG E-Learning",'Pivot Table for Fact Book'!$A$3,"State","DE","type",7,"Type2","Two-Year")</f>
        <v>0</v>
      </c>
      <c r="S28" s="257">
        <f>GETPIVOTDATA("Sum of New UG E-Learning",'Pivot Table for Fact Book'!$A$3,"State","DE","type",7,"Type2","Two-Year")</f>
        <v>0</v>
      </c>
      <c r="T28" s="257">
        <f>GETPIVOTDATA("Sum of Old UG E-Learning",'Pivot Table for Fact Book'!$A$3,"State","DE","type",8,"Type2","Two-Year")</f>
        <v>0</v>
      </c>
      <c r="U28" s="257">
        <f>GETPIVOTDATA("Sum of New UG E-Learning",'Pivot Table for Fact Book'!$A$3,"State","DE","type",8,"Type2","Two-Year")</f>
        <v>0</v>
      </c>
      <c r="V28" s="257">
        <f>GETPIVOTDATA("Sum of Old UG E-Learning",'Pivot Table for Fact Book'!$A$3,"State","DE","type",9,"Type2","Two-Year")</f>
        <v>44466</v>
      </c>
      <c r="W28" s="257">
        <f>GETPIVOTDATA("Sum of New UG E-Learning",'Pivot Table for Fact Book'!$A$3,"State","DE","type",9,"Type2","Two-Year")</f>
        <v>53031</v>
      </c>
      <c r="X28" s="257">
        <f>GETPIVOTDATA("Sum of Old UG E-Learning",'Pivot Table for Fact Book'!$A$3,"State","DE","type",10,"Type2","Two-Year")</f>
        <v>0</v>
      </c>
      <c r="Y28" s="257">
        <f>GETPIVOTDATA("Sum of New UG E-Learning",'Pivot Table for Fact Book'!$A$3,"State","DE","type",10,"Type2","Two-Year")</f>
        <v>0</v>
      </c>
      <c r="Z28" s="259">
        <f>GETPIVOTDATA("Sum of Old UG E-Learning",'Pivot Table for Fact Book'!$A$3,"State","DE","Type2","Two-Year")</f>
        <v>44466</v>
      </c>
      <c r="AA28" s="259">
        <f>GETPIVOTDATA("Sum of New UG E-Learning",'Pivot Table for Fact Book'!$A$3,"State","DE","Type2","Two-Year")</f>
        <v>53031</v>
      </c>
      <c r="AB28" s="256">
        <f>+GETPIVOTDATA("Sum of Old UG E-Learning",'Pivot Table for Fact Book'!$A$3,"State","DE","type",12,"type2","Techncial")</f>
        <v>0</v>
      </c>
      <c r="AC28" s="257">
        <f>+GETPIVOTDATA("Sum of New UG E-Learning",'Pivot Table for Fact Book'!$A$3,"State","DE","type",12,"type2","Techncial")</f>
        <v>0</v>
      </c>
      <c r="AD28" s="257">
        <f>+GETPIVOTDATA("Sum of Old UG E-Learning",'Pivot Table for Fact Book'!$A$3,"State","DE","type",13,"type2","Techncial")</f>
        <v>0</v>
      </c>
      <c r="AE28" s="257">
        <f>+GETPIVOTDATA("Sum of New UG E-Learning",'Pivot Table for Fact Book'!$A$3,"State","DE","type",13,"type2","Techncial")</f>
        <v>0</v>
      </c>
      <c r="AF28" s="261">
        <f>+GETPIVOTDATA("Sum of Old UG E-Learning",'Pivot Table for Fact Book'!$A$3,"State","DE","type2","Techncial")</f>
        <v>0</v>
      </c>
      <c r="AG28" s="261">
        <f>+GETPIVOTDATA("Sum of New UG E-Learning",'Pivot Table for Fact Book'!$A$3,"State","DE","type2","Techncial")</f>
        <v>0</v>
      </c>
    </row>
    <row r="29" spans="1:33">
      <c r="A29" s="269" t="s">
        <v>828</v>
      </c>
      <c r="B29" s="256">
        <f>GETPIVOTDATA("Sum of Old UG E-Learning",'Pivot Table for Fact Book'!$A$3,"State","FL","type",1,"Type2","Four-Year")</f>
        <v>0</v>
      </c>
      <c r="C29" s="257">
        <f>GETPIVOTDATA("Sum of New UG E-Learning",'Pivot Table for Fact Book'!$A$3,"State","FL","type",1,"Type2","Four-Year")</f>
        <v>0</v>
      </c>
      <c r="D29" s="256">
        <f>GETPIVOTDATA("Sum of Old UG E-Learning",'Pivot Table for Fact Book'!$A$3,"State","FL","type",2,"Type2","Four-Year")</f>
        <v>0</v>
      </c>
      <c r="E29" s="257">
        <f>GETPIVOTDATA("Sum of New UG E-Learning",'Pivot Table for Fact Book'!$A$3,"State","FL","type",2,"Type2","Four-Year")</f>
        <v>0</v>
      </c>
      <c r="F29" s="256">
        <f>GETPIVOTDATA("Sum of Old UG E-Learning",'Pivot Table for Fact Book'!$A$3,"State","FL","type",3,"Type2","Four-Year")</f>
        <v>0</v>
      </c>
      <c r="G29" s="257">
        <f>GETPIVOTDATA("Sum of New UG E-Learning",'Pivot Table for Fact Book'!$A$3,"State","FL","type",3,"Type2","Four-Year")</f>
        <v>0</v>
      </c>
      <c r="H29" s="256">
        <f>GETPIVOTDATA("Sum of Old UG E-Learning",'Pivot Table for Fact Book'!$A$3,"State","FL","type",4,"Type2","Four-Year")</f>
        <v>0</v>
      </c>
      <c r="I29" s="257">
        <f>GETPIVOTDATA("Sum of New UG E-Learning",'Pivot Table for Fact Book'!$A$3,"State","FL","type",4,"Type2","Four-Year")</f>
        <v>0</v>
      </c>
      <c r="J29" s="256">
        <f>GETPIVOTDATA("Sum of Old UG E-Learning",'Pivot Table for Fact Book'!$A$3,"State","FL","type",5,"Type2","Four-Year")</f>
        <v>0</v>
      </c>
      <c r="K29" s="257">
        <f>GETPIVOTDATA("Sum of New UG E-Learning",'Pivot Table for Fact Book'!$A$3,"State","FL","type",5,"Type2","Four-Year")</f>
        <v>0</v>
      </c>
      <c r="L29" s="256">
        <f>GETPIVOTDATA("Sum of Old UG E-Learning",'Pivot Table for Fact Book'!$A$3,"State","FL","type",6,"Type2","Four-Year")</f>
        <v>0</v>
      </c>
      <c r="M29" s="257">
        <f>GETPIVOTDATA("Sum of New UG E-Learning",'Pivot Table for Fact Book'!$A$3,"State","FL","type",6,"Type2","Four-Year")</f>
        <v>0</v>
      </c>
      <c r="N29" s="256">
        <f>GETPIVOTDATA("Sum of Old UG E-Learning",'Pivot Table for Fact Book'!$A$3,"State","FL","type",15,"Type2","Four-Year")</f>
        <v>0</v>
      </c>
      <c r="O29" s="257">
        <f>GETPIVOTDATA("Sum of New UG E-Learning",'Pivot Table for Fact Book'!$A$3,"State","FL","type",15,"Type2","Four-Year")</f>
        <v>0</v>
      </c>
      <c r="P29" s="258">
        <f>GETPIVOTDATA("Sum of Old UG E-Learning",'Pivot Table for Fact Book'!$A$3,"State","FL","Type2","Four-Year")</f>
        <v>0</v>
      </c>
      <c r="Q29" s="258">
        <f>GETPIVOTDATA("Sum of New UG E-Learning",'Pivot Table for Fact Book'!$A$3,"State","FL","Type2","Four-Year")</f>
        <v>0</v>
      </c>
      <c r="R29" s="256">
        <f>GETPIVOTDATA("Sum of Old UG E-Learning",'Pivot Table for Fact Book'!$A$3,"State","FL","type",7,"Type2","Two-Year")</f>
        <v>2160877</v>
      </c>
      <c r="S29" s="257">
        <f>GETPIVOTDATA("Sum of New UG E-Learning",'Pivot Table for Fact Book'!$A$3,"State","FL","type",7,"Type2","Two-Year")</f>
        <v>2294518</v>
      </c>
      <c r="T29" s="257">
        <f>GETPIVOTDATA("Sum of Old UG E-Learning",'Pivot Table for Fact Book'!$A$3,"State","FL","type",8,"Type2","Two-Year")</f>
        <v>215344</v>
      </c>
      <c r="U29" s="257">
        <f>GETPIVOTDATA("Sum of New UG E-Learning",'Pivot Table for Fact Book'!$A$3,"State","FL","type",8,"Type2","Two-Year")</f>
        <v>258871</v>
      </c>
      <c r="V29" s="257">
        <f>GETPIVOTDATA("Sum of Old UG E-Learning",'Pivot Table for Fact Book'!$A$3,"State","FL","type",9,"Type2","Two-Year")</f>
        <v>0</v>
      </c>
      <c r="W29" s="257">
        <f>GETPIVOTDATA("Sum of New UG E-Learning",'Pivot Table for Fact Book'!$A$3,"State","FL","type",9,"Type2","Two-Year")</f>
        <v>0</v>
      </c>
      <c r="X29" s="257">
        <f>GETPIVOTDATA("Sum of Old UG E-Learning",'Pivot Table for Fact Book'!$A$3,"State","FL","type",10,"Type2","Two-Year")</f>
        <v>12269</v>
      </c>
      <c r="Y29" s="257">
        <f>GETPIVOTDATA("Sum of New UG E-Learning",'Pivot Table for Fact Book'!$A$3,"State","FL","type",10,"Type2","Two-Year")</f>
        <v>14214</v>
      </c>
      <c r="Z29" s="259">
        <f>GETPIVOTDATA("Sum of Old UG E-Learning",'Pivot Table for Fact Book'!$A$3,"State","FL","Type2","Two-Year")</f>
        <v>2388490</v>
      </c>
      <c r="AA29" s="259">
        <f>GETPIVOTDATA("Sum of New UG E-Learning",'Pivot Table for Fact Book'!$A$3,"State","FL","Type2","Two-Year")</f>
        <v>2567603</v>
      </c>
      <c r="AB29" s="256">
        <f>+GETPIVOTDATA("Sum of Old UG E-Learning",'Pivot Table for Fact Book'!$A$3,"State","FL","type",12,"type2","Techncial")</f>
        <v>0</v>
      </c>
      <c r="AC29" s="257">
        <f>+GETPIVOTDATA("Sum of New UG E-Learning",'Pivot Table for Fact Book'!$A$3,"State","FL","type",12,"type2","Techncial")</f>
        <v>0</v>
      </c>
      <c r="AD29" s="257">
        <f>+GETPIVOTDATA("Sum of Old UG E-Learning",'Pivot Table for Fact Book'!$A$3,"State","FL","type",13,"type2","Techncial")</f>
        <v>0</v>
      </c>
      <c r="AE29" s="257">
        <f>+GETPIVOTDATA("Sum of New UG E-Learning",'Pivot Table for Fact Book'!$A$3,"State","FL","type",13,"type2","Techncial")</f>
        <v>0</v>
      </c>
      <c r="AF29" s="261">
        <f>+GETPIVOTDATA("Sum of Old UG E-Learning",'Pivot Table for Fact Book'!$A$3,"State","FL","type2","Techncial")</f>
        <v>0</v>
      </c>
      <c r="AG29" s="261">
        <f>+GETPIVOTDATA("Sum of New UG E-Learning",'Pivot Table for Fact Book'!$A$3,"State","FL","type2","Techncial")</f>
        <v>0</v>
      </c>
    </row>
    <row r="30" spans="1:33">
      <c r="A30" s="269" t="s">
        <v>829</v>
      </c>
      <c r="B30" s="256">
        <f>GETPIVOTDATA("Sum of Old UG E-Learning",'Pivot Table for Fact Book'!$A$3,"State","GA","type",1,"Type2","Four-Year")</f>
        <v>237625</v>
      </c>
      <c r="C30" s="257">
        <f>GETPIVOTDATA("Sum of New UG E-Learning",'Pivot Table for Fact Book'!$A$3,"State","GA","type",1,"Type2","Four-Year")</f>
        <v>266495</v>
      </c>
      <c r="D30" s="256">
        <f>GETPIVOTDATA("Sum of Old UG E-Learning",'Pivot Table for Fact Book'!$A$3,"State","GA","type",2,"Type2","Four-Year")</f>
        <v>6531</v>
      </c>
      <c r="E30" s="257">
        <f>GETPIVOTDATA("Sum of New UG E-Learning",'Pivot Table for Fact Book'!$A$3,"State","GA","type",2,"Type2","Four-Year")</f>
        <v>12192</v>
      </c>
      <c r="F30" s="256">
        <f>GETPIVOTDATA("Sum of Old UG E-Learning",'Pivot Table for Fact Book'!$A$3,"State","GA","type",3,"Type2","Four-Year")</f>
        <v>434564</v>
      </c>
      <c r="G30" s="257">
        <f>GETPIVOTDATA("Sum of New UG E-Learning",'Pivot Table for Fact Book'!$A$3,"State","GA","type",3,"Type2","Four-Year")</f>
        <v>503798</v>
      </c>
      <c r="H30" s="256">
        <f>GETPIVOTDATA("Sum of Old UG E-Learning",'Pivot Table for Fact Book'!$A$3,"State","GA","type",4,"Type2","Four-Year")</f>
        <v>270937</v>
      </c>
      <c r="I30" s="257">
        <f>GETPIVOTDATA("Sum of New UG E-Learning",'Pivot Table for Fact Book'!$A$3,"State","GA","type",4,"Type2","Four-Year")</f>
        <v>267981</v>
      </c>
      <c r="J30" s="256">
        <f>GETPIVOTDATA("Sum of Old UG E-Learning",'Pivot Table for Fact Book'!$A$3,"State","GA","type",5,"Type2","Four-Year")</f>
        <v>11308</v>
      </c>
      <c r="K30" s="257">
        <f>GETPIVOTDATA("Sum of New UG E-Learning",'Pivot Table for Fact Book'!$A$3,"State","GA","type",5,"Type2","Four-Year")</f>
        <v>16988</v>
      </c>
      <c r="L30" s="256">
        <f>GETPIVOTDATA("Sum of Old UG E-Learning",'Pivot Table for Fact Book'!$A$3,"State","GA","type",6,"Type2","Four-Year")</f>
        <v>93622</v>
      </c>
      <c r="M30" s="257">
        <f>GETPIVOTDATA("Sum of New UG E-Learning",'Pivot Table for Fact Book'!$A$3,"State","GA","type",6,"Type2","Four-Year")</f>
        <v>114803</v>
      </c>
      <c r="N30" s="256">
        <f>GETPIVOTDATA("Sum of Old UG E-Learning",'Pivot Table for Fact Book'!$A$3,"State","GA","type",15,"Type2","Four-Year")</f>
        <v>0</v>
      </c>
      <c r="O30" s="257">
        <f>GETPIVOTDATA("Sum of New UG E-Learning",'Pivot Table for Fact Book'!$A$3,"State","GA","type",15,"Type2","Four-Year")</f>
        <v>0</v>
      </c>
      <c r="P30" s="258">
        <f>GETPIVOTDATA("Sum of Old UG E-Learning",'Pivot Table for Fact Book'!$A$3,"State","GA","Type2","Four-Year")</f>
        <v>1054587</v>
      </c>
      <c r="Q30" s="258">
        <f>GETPIVOTDATA("Sum of New UG E-Learning",'Pivot Table for Fact Book'!$A$3,"State","GA","Type2","Four-Year")</f>
        <v>1182257</v>
      </c>
      <c r="R30" s="256">
        <f>GETPIVOTDATA("Sum of Old UG E-Learning",'Pivot Table for Fact Book'!$A$3,"State","GA","type",7,"Type2","Two-Year")</f>
        <v>96025</v>
      </c>
      <c r="S30" s="257">
        <f>GETPIVOTDATA("Sum of New UG E-Learning",'Pivot Table for Fact Book'!$A$3,"State","GA","type",7,"Type2","Two-Year")</f>
        <v>121648</v>
      </c>
      <c r="T30" s="257">
        <f>GETPIVOTDATA("Sum of Old UG E-Learning",'Pivot Table for Fact Book'!$A$3,"State","GA","type",8,"Type2","Two-Year")</f>
        <v>0</v>
      </c>
      <c r="U30" s="257">
        <f>GETPIVOTDATA("Sum of New UG E-Learning",'Pivot Table for Fact Book'!$A$3,"State","GA","type",8,"Type2","Two-Year")</f>
        <v>0</v>
      </c>
      <c r="V30" s="257">
        <f>GETPIVOTDATA("Sum of Old UG E-Learning",'Pivot Table for Fact Book'!$A$3,"State","GA","type",9,"Type2","Two-Year")</f>
        <v>0</v>
      </c>
      <c r="W30" s="257">
        <f>GETPIVOTDATA("Sum of New UG E-Learning",'Pivot Table for Fact Book'!$A$3,"State","GA","type",9,"Type2","Two-Year")</f>
        <v>0</v>
      </c>
      <c r="X30" s="257">
        <f>GETPIVOTDATA("Sum of Old UG E-Learning",'Pivot Table for Fact Book'!$A$3,"State","GA","type",10,"Type2","Two-Year")</f>
        <v>14927</v>
      </c>
      <c r="Y30" s="257">
        <f>GETPIVOTDATA("Sum of New UG E-Learning",'Pivot Table for Fact Book'!$A$3,"State","GA","type",10,"Type2","Two-Year")</f>
        <v>0</v>
      </c>
      <c r="Z30" s="259">
        <f>GETPIVOTDATA("Sum of Old UG E-Learning",'Pivot Table for Fact Book'!$A$3,"State","GA","Type2","Two-Year")</f>
        <v>110952</v>
      </c>
      <c r="AA30" s="259">
        <f>GETPIVOTDATA("Sum of New UG E-Learning",'Pivot Table for Fact Book'!$A$3,"State","GA","Type2","Two-Year")</f>
        <v>121648</v>
      </c>
      <c r="AB30" s="256">
        <f>+GETPIVOTDATA("Sum of Old UG E-Learning",'Pivot Table for Fact Book'!$A$3,"State","GA","type",12,"type2","Techncial")</f>
        <v>661322</v>
      </c>
      <c r="AC30" s="257">
        <f>+GETPIVOTDATA("Sum of New UG E-Learning",'Pivot Table for Fact Book'!$A$3,"State","GA","type",12,"type2","Techncial")</f>
        <v>725058.1</v>
      </c>
      <c r="AD30" s="257">
        <f>+GETPIVOTDATA("Sum of Old UG E-Learning",'Pivot Table for Fact Book'!$A$3,"State","GA","type",13,"type2","Techncial")</f>
        <v>0</v>
      </c>
      <c r="AE30" s="257">
        <f>+GETPIVOTDATA("Sum of New UG E-Learning",'Pivot Table for Fact Book'!$A$3,"State","GA","type",13,"type2","Techncial")</f>
        <v>0</v>
      </c>
      <c r="AF30" s="261">
        <f>+GETPIVOTDATA("Sum of Old UG E-Learning",'Pivot Table for Fact Book'!$A$3,"State","GA","type2","Techncial")</f>
        <v>661322</v>
      </c>
      <c r="AG30" s="261">
        <f>+GETPIVOTDATA("Sum of New UG E-Learning",'Pivot Table for Fact Book'!$A$3,"State","GA","type2","Techncial")</f>
        <v>725058.1</v>
      </c>
    </row>
    <row r="31" spans="1:33">
      <c r="A31" s="269" t="s">
        <v>830</v>
      </c>
      <c r="B31" s="256">
        <f>GETPIVOTDATA("Sum of Old UG E-Learning",'Pivot Table for Fact Book'!$A$3,"State","KY","type",1,"Type2","Four-Year")</f>
        <v>101048</v>
      </c>
      <c r="C31" s="257">
        <f>GETPIVOTDATA("Sum of New UG E-Learning",'Pivot Table for Fact Book'!$A$3,"State","KY","type",1,"Type2","Four-Year")</f>
        <v>114863</v>
      </c>
      <c r="D31" s="256">
        <f>GETPIVOTDATA("Sum of Old UG E-Learning",'Pivot Table for Fact Book'!$A$3,"State","KY","type",2,"Type2","Four-Year")</f>
        <v>0</v>
      </c>
      <c r="E31" s="257">
        <f>GETPIVOTDATA("Sum of New UG E-Learning",'Pivot Table for Fact Book'!$A$3,"State","KY","type",2,"Type2","Four-Year")</f>
        <v>0</v>
      </c>
      <c r="F31" s="256">
        <f>GETPIVOTDATA("Sum of Old UG E-Learning",'Pivot Table for Fact Book'!$A$3,"State","KY","type",3,"Type2","Four-Year")</f>
        <v>313122</v>
      </c>
      <c r="G31" s="257">
        <f>GETPIVOTDATA("Sum of New UG E-Learning",'Pivot Table for Fact Book'!$A$3,"State","KY","type",3,"Type2","Four-Year")</f>
        <v>334952</v>
      </c>
      <c r="H31" s="256">
        <f>GETPIVOTDATA("Sum of Old UG E-Learning",'Pivot Table for Fact Book'!$A$3,"State","KY","type",4,"Type2","Four-Year")</f>
        <v>13526</v>
      </c>
      <c r="I31" s="257">
        <f>GETPIVOTDATA("Sum of New UG E-Learning",'Pivot Table for Fact Book'!$A$3,"State","KY","type",4,"Type2","Four-Year")</f>
        <v>13003</v>
      </c>
      <c r="J31" s="256">
        <f>GETPIVOTDATA("Sum of Old UG E-Learning",'Pivot Table for Fact Book'!$A$3,"State","KY","type",5,"Type2","Four-Year")</f>
        <v>0</v>
      </c>
      <c r="K31" s="257">
        <f>GETPIVOTDATA("Sum of New UG E-Learning",'Pivot Table for Fact Book'!$A$3,"State","KY","type",5,"Type2","Four-Year")</f>
        <v>0</v>
      </c>
      <c r="L31" s="256">
        <f>GETPIVOTDATA("Sum of Old UG E-Learning",'Pivot Table for Fact Book'!$A$3,"State","KY","type",6,"Type2","Four-Year")</f>
        <v>0</v>
      </c>
      <c r="M31" s="257">
        <f>GETPIVOTDATA("Sum of New UG E-Learning",'Pivot Table for Fact Book'!$A$3,"State","KY","type",6,"Type2","Four-Year")</f>
        <v>0</v>
      </c>
      <c r="N31" s="256">
        <f>GETPIVOTDATA("Sum of Old UG E-Learning",'Pivot Table for Fact Book'!$A$3,"State","KY","type",15,"Type2","Four-Year")</f>
        <v>0</v>
      </c>
      <c r="O31" s="257">
        <f>GETPIVOTDATA("Sum of New UG E-Learning",'Pivot Table for Fact Book'!$A$3,"State","KY","type",15,"Type2","Four-Year")</f>
        <v>0</v>
      </c>
      <c r="P31" s="258">
        <f>GETPIVOTDATA("Sum of Old UG E-Learning",'Pivot Table for Fact Book'!$A$3,"State","KY","Type2","Four-Year")</f>
        <v>427696</v>
      </c>
      <c r="Q31" s="258">
        <f>GETPIVOTDATA("Sum of New UG E-Learning",'Pivot Table for Fact Book'!$A$3,"State","KY","Type2","Four-Year")</f>
        <v>462818</v>
      </c>
      <c r="R31" s="256">
        <f>GETPIVOTDATA("Sum of Old UG E-Learning",'Pivot Table for Fact Book'!$A$3,"State","KY","type",7,"Type2","Two-Year")</f>
        <v>0</v>
      </c>
      <c r="S31" s="257">
        <f>GETPIVOTDATA("Sum of New UG E-Learning",'Pivot Table for Fact Book'!$A$3,"State","KY","type",7,"Type2","Two-Year")</f>
        <v>0</v>
      </c>
      <c r="T31" s="257">
        <f>GETPIVOTDATA("Sum of Old UG E-Learning",'Pivot Table for Fact Book'!$A$3,"State","KY","type",8,"Type2","Two-Year")</f>
        <v>128691</v>
      </c>
      <c r="U31" s="257">
        <f>GETPIVOTDATA("Sum of New UG E-Learning",'Pivot Table for Fact Book'!$A$3,"State","KY","type",8,"Type2","Two-Year")</f>
        <v>134765</v>
      </c>
      <c r="V31" s="257">
        <f>GETPIVOTDATA("Sum of Old UG E-Learning",'Pivot Table for Fact Book'!$A$3,"State","KY","type",9,"Type2","Two-Year")</f>
        <v>258524</v>
      </c>
      <c r="W31" s="257">
        <f>GETPIVOTDATA("Sum of New UG E-Learning",'Pivot Table for Fact Book'!$A$3,"State","KY","type",9,"Type2","Two-Year")</f>
        <v>269013</v>
      </c>
      <c r="X31" s="257">
        <f>GETPIVOTDATA("Sum of Old UG E-Learning",'Pivot Table for Fact Book'!$A$3,"State","KY","type",10,"Type2","Two-Year")</f>
        <v>108312</v>
      </c>
      <c r="Y31" s="257">
        <f>GETPIVOTDATA("Sum of New UG E-Learning",'Pivot Table for Fact Book'!$A$3,"State","KY","type",10,"Type2","Two-Year")</f>
        <v>113493</v>
      </c>
      <c r="Z31" s="259">
        <f>GETPIVOTDATA("Sum of Old UG E-Learning",'Pivot Table for Fact Book'!$A$3,"State","KY","Type2","Two-Year")</f>
        <v>495527</v>
      </c>
      <c r="AA31" s="259">
        <f>GETPIVOTDATA("Sum of New UG E-Learning",'Pivot Table for Fact Book'!$A$3,"State","KY","Type2","Two-Year")</f>
        <v>517271</v>
      </c>
      <c r="AB31" s="256">
        <f>+GETPIVOTDATA("Sum of Old UG E-Learning",'Pivot Table for Fact Book'!$A$3,"State","KY","type",12,"type2","Techncial")</f>
        <v>46886</v>
      </c>
      <c r="AC31" s="257">
        <f>+GETPIVOTDATA("Sum of New UG E-Learning",'Pivot Table for Fact Book'!$A$3,"State","KY","type",12,"type2","Techncial")</f>
        <v>47115</v>
      </c>
      <c r="AD31" s="257">
        <f>+GETPIVOTDATA("Sum of Old UG E-Learning",'Pivot Table for Fact Book'!$A$3,"State","KY","type",13,"type2","Techncial")</f>
        <v>0</v>
      </c>
      <c r="AE31" s="257">
        <f>+GETPIVOTDATA("Sum of New UG E-Learning",'Pivot Table for Fact Book'!$A$3,"State","KY","type",13,"type2","Techncial")</f>
        <v>0</v>
      </c>
      <c r="AF31" s="261">
        <f>+GETPIVOTDATA("Sum of Old UG E-Learning",'Pivot Table for Fact Book'!$A$3,"State","KY","type2","Techncial")</f>
        <v>46886</v>
      </c>
      <c r="AG31" s="261">
        <f>+GETPIVOTDATA("Sum of New UG E-Learning",'Pivot Table for Fact Book'!$A$3,"State","KY","type2","Techncial")</f>
        <v>47115</v>
      </c>
    </row>
    <row r="32" spans="1:33">
      <c r="A32" s="269" t="s">
        <v>831</v>
      </c>
      <c r="B32" s="256">
        <f>GETPIVOTDATA("Sum of Old UG E-Learning",'Pivot Table for Fact Book'!$A$3,"State","LA","type",1,"Type2","Four-Year")</f>
        <v>21853.508426966298</v>
      </c>
      <c r="C32" s="257">
        <f>GETPIVOTDATA("Sum of New UG E-Learning",'Pivot Table for Fact Book'!$A$3,"State","LA","type",1,"Type2","Four-Year")</f>
        <v>25084.6043165468</v>
      </c>
      <c r="D32" s="256">
        <f>GETPIVOTDATA("Sum of Old UG E-Learning",'Pivot Table for Fact Book'!$A$3,"State","LA","type",2,"Type2","Four-Year")</f>
        <v>103449.4122275316</v>
      </c>
      <c r="E32" s="257">
        <f>GETPIVOTDATA("Sum of New UG E-Learning",'Pivot Table for Fact Book'!$A$3,"State","LA","type",2,"Type2","Four-Year")</f>
        <v>107749.6476658301</v>
      </c>
      <c r="F32" s="256">
        <f>GETPIVOTDATA("Sum of Old UG E-Learning",'Pivot Table for Fact Book'!$A$3,"State","LA","type",3,"Type2","Four-Year")</f>
        <v>165856.62784189143</v>
      </c>
      <c r="G32" s="257">
        <f>GETPIVOTDATA("Sum of New UG E-Learning",'Pivot Table for Fact Book'!$A$3,"State","LA","type",3,"Type2","Four-Year")</f>
        <v>167076.85480734211</v>
      </c>
      <c r="H32" s="256">
        <f>GETPIVOTDATA("Sum of Old UG E-Learning",'Pivot Table for Fact Book'!$A$3,"State","LA","type",4,"Type2","Four-Year")</f>
        <v>158680.03870814751</v>
      </c>
      <c r="I32" s="257">
        <f>GETPIVOTDATA("Sum of New UG E-Learning",'Pivot Table for Fact Book'!$A$3,"State","LA","type",4,"Type2","Four-Year")</f>
        <v>158654.23979978787</v>
      </c>
      <c r="J32" s="256">
        <f>GETPIVOTDATA("Sum of Old UG E-Learning",'Pivot Table for Fact Book'!$A$3,"State","LA","type",5,"Type2","Four-Year")</f>
        <v>6093.4829268292697</v>
      </c>
      <c r="K32" s="257">
        <f>GETPIVOTDATA("Sum of New UG E-Learning",'Pivot Table for Fact Book'!$A$3,"State","LA","type",5,"Type2","Four-Year")</f>
        <v>6866.7725409836103</v>
      </c>
      <c r="L32" s="256">
        <f>GETPIVOTDATA("Sum of Old UG E-Learning",'Pivot Table for Fact Book'!$A$3,"State","LA","type",6,"Type2","Four-Year")</f>
        <v>25814.8704</v>
      </c>
      <c r="M32" s="257">
        <f>GETPIVOTDATA("Sum of New UG E-Learning",'Pivot Table for Fact Book'!$A$3,"State","LA","type",6,"Type2","Four-Year")</f>
        <v>27935.301818181801</v>
      </c>
      <c r="N32" s="256">
        <f>GETPIVOTDATA("Sum of Old UG E-Learning",'Pivot Table for Fact Book'!$A$3,"State","LA","type",15,"Type2","Four-Year")</f>
        <v>0</v>
      </c>
      <c r="O32" s="257">
        <f>GETPIVOTDATA("Sum of New UG E-Learning",'Pivot Table for Fact Book'!$A$3,"State","LA","type",15,"Type2","Four-Year")</f>
        <v>0</v>
      </c>
      <c r="P32" s="258">
        <f>GETPIVOTDATA("Sum of Old UG E-Learning",'Pivot Table for Fact Book'!$A$3,"State","LA","Type2","Four-Year")</f>
        <v>481747.94053136604</v>
      </c>
      <c r="Q32" s="258">
        <f>GETPIVOTDATA("Sum of New UG E-Learning",'Pivot Table for Fact Book'!$A$3,"State","LA","Type2","Four-Year")</f>
        <v>493367.42094867228</v>
      </c>
      <c r="R32" s="256">
        <f>GETPIVOTDATA("Sum of Old UG E-Learning",'Pivot Table for Fact Book'!$A$3,"State","LA","type",7,"Type2","Two-Year")</f>
        <v>0</v>
      </c>
      <c r="S32" s="257">
        <f>GETPIVOTDATA("Sum of New UG E-Learning",'Pivot Table for Fact Book'!$A$3,"State","LA","type",7,"Type2","Two-Year")</f>
        <v>0</v>
      </c>
      <c r="T32" s="257">
        <f>GETPIVOTDATA("Sum of Old UG E-Learning",'Pivot Table for Fact Book'!$A$3,"State","LA","type",8,"Type2","Two-Year")</f>
        <v>114513.19370365649</v>
      </c>
      <c r="U32" s="257">
        <f>GETPIVOTDATA("Sum of New UG E-Learning",'Pivot Table for Fact Book'!$A$3,"State","LA","type",8,"Type2","Two-Year")</f>
        <v>127846.44274067221</v>
      </c>
      <c r="V32" s="257">
        <f>GETPIVOTDATA("Sum of Old UG E-Learning",'Pivot Table for Fact Book'!$A$3,"State","LA","type",9,"Type2","Two-Year")</f>
        <v>44059.415483160294</v>
      </c>
      <c r="W32" s="257">
        <f>GETPIVOTDATA("Sum of New UG E-Learning",'Pivot Table for Fact Book'!$A$3,"State","LA","type",9,"Type2","Two-Year")</f>
        <v>55471.925548790205</v>
      </c>
      <c r="X32" s="257">
        <f>GETPIVOTDATA("Sum of Old UG E-Learning",'Pivot Table for Fact Book'!$A$3,"State","LA","type",10,"Type2","Two-Year")</f>
        <v>42564.355222197599</v>
      </c>
      <c r="Y32" s="257">
        <f>GETPIVOTDATA("Sum of New UG E-Learning",'Pivot Table for Fact Book'!$A$3,"State","LA","type",10,"Type2","Two-Year")</f>
        <v>46255.566385984035</v>
      </c>
      <c r="Z32" s="259">
        <f>GETPIVOTDATA("Sum of Old UG E-Learning",'Pivot Table for Fact Book'!$A$3,"State","LA","Type2","Two-Year")</f>
        <v>201136.96440901438</v>
      </c>
      <c r="AA32" s="259">
        <f>GETPIVOTDATA("Sum of New UG E-Learning",'Pivot Table for Fact Book'!$A$3,"State","LA","Type2","Two-Year")</f>
        <v>229573.93467544645</v>
      </c>
      <c r="AB32" s="256">
        <f>+GETPIVOTDATA("Sum of Old UG E-Learning",'Pivot Table for Fact Book'!$A$3,"State","LA","type",12,"type2","Techncial")</f>
        <v>41844.970488464045</v>
      </c>
      <c r="AC32" s="257">
        <f>+GETPIVOTDATA("Sum of New UG E-Learning",'Pivot Table for Fact Book'!$A$3,"State","LA","type",12,"type2","Techncial")</f>
        <v>47067.797055851275</v>
      </c>
      <c r="AD32" s="257">
        <f>+GETPIVOTDATA("Sum of Old UG E-Learning",'Pivot Table for Fact Book'!$A$3,"State","LA","type",13,"type2","Techncial")</f>
        <v>0</v>
      </c>
      <c r="AE32" s="257">
        <f>+GETPIVOTDATA("Sum of New UG E-Learning",'Pivot Table for Fact Book'!$A$3,"State","LA","type",13,"type2","Techncial")</f>
        <v>0</v>
      </c>
      <c r="AF32" s="261">
        <f>+GETPIVOTDATA("Sum of Old UG E-Learning",'Pivot Table for Fact Book'!$A$3,"State","LA","type2","Techncial")</f>
        <v>41844.970488464045</v>
      </c>
      <c r="AG32" s="261">
        <f>+GETPIVOTDATA("Sum of New UG E-Learning",'Pivot Table for Fact Book'!$A$3,"State","LA","type2","Techncial")</f>
        <v>47067.797055851275</v>
      </c>
    </row>
    <row r="33" spans="1:33">
      <c r="A33" s="269" t="s">
        <v>832</v>
      </c>
      <c r="B33" s="256">
        <f>GETPIVOTDATA("Sum of Old UG E-Learning",'Pivot Table for Fact Book'!$A$3,"State","MD","type",1,"Type2","Four-Year")</f>
        <v>35948</v>
      </c>
      <c r="C33" s="257">
        <f>GETPIVOTDATA("Sum of New UG E-Learning",'Pivot Table for Fact Book'!$A$3,"State","MD","type",1,"Type2","Four-Year")</f>
        <v>40504</v>
      </c>
      <c r="D33" s="256">
        <f>GETPIVOTDATA("Sum of Old UG E-Learning",'Pivot Table for Fact Book'!$A$3,"State","MD","type",2,"Type2","Four-Year")</f>
        <v>56415</v>
      </c>
      <c r="E33" s="257">
        <f>GETPIVOTDATA("Sum of New UG E-Learning",'Pivot Table for Fact Book'!$A$3,"State","MD","type",2,"Type2","Four-Year")</f>
        <v>56680</v>
      </c>
      <c r="F33" s="256">
        <f>GETPIVOTDATA("Sum of Old UG E-Learning",'Pivot Table for Fact Book'!$A$3,"State","MD","type",3,"Type2","Four-Year")</f>
        <v>81711</v>
      </c>
      <c r="G33" s="257">
        <f>GETPIVOTDATA("Sum of New UG E-Learning",'Pivot Table for Fact Book'!$A$3,"State","MD","type",3,"Type2","Four-Year")</f>
        <v>89834</v>
      </c>
      <c r="H33" s="256">
        <f>GETPIVOTDATA("Sum of Old UG E-Learning",'Pivot Table for Fact Book'!$A$3,"State","MD","type",4,"Type2","Four-Year")</f>
        <v>87850</v>
      </c>
      <c r="I33" s="257">
        <f>GETPIVOTDATA("Sum of New UG E-Learning",'Pivot Table for Fact Book'!$A$3,"State","MD","type",4,"Type2","Four-Year")</f>
        <v>87221</v>
      </c>
      <c r="J33" s="256">
        <f>GETPIVOTDATA("Sum of Old UG E-Learning",'Pivot Table for Fact Book'!$A$3,"State","MD","type",5,"Type2","Four-Year")</f>
        <v>13013</v>
      </c>
      <c r="K33" s="257">
        <f>GETPIVOTDATA("Sum of New UG E-Learning",'Pivot Table for Fact Book'!$A$3,"State","MD","type",5,"Type2","Four-Year")</f>
        <v>13074</v>
      </c>
      <c r="L33" s="256">
        <f>GETPIVOTDATA("Sum of Old UG E-Learning",'Pivot Table for Fact Book'!$A$3,"State","MD","type",6,"Type2","Four-Year")</f>
        <v>0</v>
      </c>
      <c r="M33" s="257">
        <f>GETPIVOTDATA("Sum of New UG E-Learning",'Pivot Table for Fact Book'!$A$3,"State","MD","type",6,"Type2","Four-Year")</f>
        <v>72</v>
      </c>
      <c r="N33" s="256">
        <f>GETPIVOTDATA("Sum of Old UG E-Learning",'Pivot Table for Fact Book'!$A$3,"State","MD","type",15,"Type2","Four-Year")</f>
        <v>752590.5</v>
      </c>
      <c r="O33" s="257">
        <f>GETPIVOTDATA("Sum of New UG E-Learning",'Pivot Table for Fact Book'!$A$3,"State","MD","type",15,"Type2","Four-Year")</f>
        <v>784493.5</v>
      </c>
      <c r="P33" s="258">
        <f>GETPIVOTDATA("Sum of Old UG E-Learning",'Pivot Table for Fact Book'!$A$3,"State","MD","Type2","Four-Year")</f>
        <v>1027527.5</v>
      </c>
      <c r="Q33" s="258">
        <f>GETPIVOTDATA("Sum of New UG E-Learning",'Pivot Table for Fact Book'!$A$3,"State","MD","Type2","Four-Year")</f>
        <v>1071878.5</v>
      </c>
      <c r="R33" s="256">
        <f>GETPIVOTDATA("Sum of Old UG E-Learning",'Pivot Table for Fact Book'!$A$3,"State","MD","type",7,"Type2","Two-Year")</f>
        <v>0</v>
      </c>
      <c r="S33" s="257">
        <f>GETPIVOTDATA("Sum of New UG E-Learning",'Pivot Table for Fact Book'!$A$3,"State","MD","type",7,"Type2","Two-Year")</f>
        <v>0</v>
      </c>
      <c r="T33" s="257">
        <f>GETPIVOTDATA("Sum of Old UG E-Learning",'Pivot Table for Fact Book'!$A$3,"State","MD","type",8,"Type2","Two-Year")</f>
        <v>337891</v>
      </c>
      <c r="U33" s="257">
        <f>GETPIVOTDATA("Sum of New UG E-Learning",'Pivot Table for Fact Book'!$A$3,"State","MD","type",8,"Type2","Two-Year")</f>
        <v>355291</v>
      </c>
      <c r="V33" s="257">
        <f>GETPIVOTDATA("Sum of Old UG E-Learning",'Pivot Table for Fact Book'!$A$3,"State","MD","type",9,"Type2","Two-Year")</f>
        <v>131005</v>
      </c>
      <c r="W33" s="257">
        <f>GETPIVOTDATA("Sum of New UG E-Learning",'Pivot Table for Fact Book'!$A$3,"State","MD","type",9,"Type2","Two-Year")</f>
        <v>124503</v>
      </c>
      <c r="X33" s="257">
        <f>GETPIVOTDATA("Sum of Old UG E-Learning",'Pivot Table for Fact Book'!$A$3,"State","MD","type",10,"Type2","Two-Year")</f>
        <v>34364</v>
      </c>
      <c r="Y33" s="257">
        <f>GETPIVOTDATA("Sum of New UG E-Learning",'Pivot Table for Fact Book'!$A$3,"State","MD","type",10,"Type2","Two-Year")</f>
        <v>37728</v>
      </c>
      <c r="Z33" s="259">
        <f>GETPIVOTDATA("Sum of Old UG E-Learning",'Pivot Table for Fact Book'!$A$3,"State","MD","Type2","Two-Year")</f>
        <v>503260</v>
      </c>
      <c r="AA33" s="259">
        <f>GETPIVOTDATA("Sum of New UG E-Learning",'Pivot Table for Fact Book'!$A$3,"State","MD","Type2","Two-Year")</f>
        <v>517522</v>
      </c>
      <c r="AB33" s="256">
        <f>+GETPIVOTDATA("Sum of Old UG E-Learning",'Pivot Table for Fact Book'!$A$3,"State","MD","type",12,"type2","Techncial")</f>
        <v>0</v>
      </c>
      <c r="AC33" s="257">
        <f>+GETPIVOTDATA("Sum of New UG E-Learning",'Pivot Table for Fact Book'!$A$3,"State","MD","type",12,"type2","Techncial")</f>
        <v>0</v>
      </c>
      <c r="AD33" s="257">
        <f>+GETPIVOTDATA("Sum of Old UG E-Learning",'Pivot Table for Fact Book'!$A$3,"State","MD","type",13,"type2","Techncial")</f>
        <v>0</v>
      </c>
      <c r="AE33" s="257">
        <f>+GETPIVOTDATA("Sum of New UG E-Learning",'Pivot Table for Fact Book'!$A$3,"State","MD","type",13,"type2","Techncial")</f>
        <v>0</v>
      </c>
      <c r="AF33" s="261">
        <f>+GETPIVOTDATA("Sum of Old UG E-Learning",'Pivot Table for Fact Book'!$A$3,"State","MD","type2","Techncial")</f>
        <v>0</v>
      </c>
      <c r="AG33" s="261">
        <f>+GETPIVOTDATA("Sum of New UG E-Learning",'Pivot Table for Fact Book'!$A$3,"State","MD","type2","Techncial")</f>
        <v>0</v>
      </c>
    </row>
    <row r="34" spans="1:33">
      <c r="A34" s="269" t="s">
        <v>833</v>
      </c>
      <c r="B34" s="256">
        <f>GETPIVOTDATA("Sum of Old UG E-Learning",'Pivot Table for Fact Book'!$A$3,"State","MS","type",1,"Type2","Four-Year")</f>
        <v>180993</v>
      </c>
      <c r="C34" s="257">
        <f>GETPIVOTDATA("Sum of New UG E-Learning",'Pivot Table for Fact Book'!$A$3,"State","MS","type",1,"Type2","Four-Year")</f>
        <v>210506</v>
      </c>
      <c r="D34" s="256">
        <f>GETPIVOTDATA("Sum of Old UG E-Learning",'Pivot Table for Fact Book'!$A$3,"State","MS","type",2,"Type2","Four-Year")</f>
        <v>45257</v>
      </c>
      <c r="E34" s="257">
        <f>GETPIVOTDATA("Sum of New UG E-Learning",'Pivot Table for Fact Book'!$A$3,"State","MS","type",2,"Type2","Four-Year")</f>
        <v>46735</v>
      </c>
      <c r="F34" s="256">
        <f>GETPIVOTDATA("Sum of Old UG E-Learning",'Pivot Table for Fact Book'!$A$3,"State","MS","type",3,"Type2","Four-Year")</f>
        <v>0</v>
      </c>
      <c r="G34" s="257">
        <f>GETPIVOTDATA("Sum of New UG E-Learning",'Pivot Table for Fact Book'!$A$3,"State","MS","type",3,"Type2","Four-Year")</f>
        <v>0</v>
      </c>
      <c r="H34" s="256">
        <f>GETPIVOTDATA("Sum of Old UG E-Learning",'Pivot Table for Fact Book'!$A$3,"State","MS","type",4,"Type2","Four-Year")</f>
        <v>49810</v>
      </c>
      <c r="I34" s="257">
        <f>GETPIVOTDATA("Sum of New UG E-Learning",'Pivot Table for Fact Book'!$A$3,"State","MS","type",4,"Type2","Four-Year")</f>
        <v>53394</v>
      </c>
      <c r="J34" s="256">
        <f>GETPIVOTDATA("Sum of Old UG E-Learning",'Pivot Table for Fact Book'!$A$3,"State","MS","type",5,"Type2","Four-Year")</f>
        <v>36984</v>
      </c>
      <c r="K34" s="257">
        <f>GETPIVOTDATA("Sum of New UG E-Learning",'Pivot Table for Fact Book'!$A$3,"State","MS","type",5,"Type2","Four-Year")</f>
        <v>36971</v>
      </c>
      <c r="L34" s="256">
        <f>GETPIVOTDATA("Sum of Old UG E-Learning",'Pivot Table for Fact Book'!$A$3,"State","MS","type",6,"Type2","Four-Year")</f>
        <v>0</v>
      </c>
      <c r="M34" s="257">
        <f>GETPIVOTDATA("Sum of New UG E-Learning",'Pivot Table for Fact Book'!$A$3,"State","MS","type",6,"Type2","Four-Year")</f>
        <v>0</v>
      </c>
      <c r="N34" s="256">
        <f>GETPIVOTDATA("Sum of Old UG E-Learning",'Pivot Table for Fact Book'!$A$3,"State","MS","type",15,"Type2","Four-Year")</f>
        <v>0</v>
      </c>
      <c r="O34" s="257">
        <f>GETPIVOTDATA("Sum of New UG E-Learning",'Pivot Table for Fact Book'!$A$3,"State","MS","type",15,"Type2","Four-Year")</f>
        <v>0</v>
      </c>
      <c r="P34" s="258">
        <f>GETPIVOTDATA("Sum of Old UG E-Learning",'Pivot Table for Fact Book'!$A$3,"State","MS","Type2","Four-Year")</f>
        <v>313044</v>
      </c>
      <c r="Q34" s="258">
        <f>GETPIVOTDATA("Sum of New UG E-Learning",'Pivot Table for Fact Book'!$A$3,"State","MS","Type2","Four-Year")</f>
        <v>347606</v>
      </c>
      <c r="R34" s="256">
        <f>GETPIVOTDATA("Sum of Old UG E-Learning",'Pivot Table for Fact Book'!$A$3,"State","MS","type",7,"Type2","Two-Year")</f>
        <v>0</v>
      </c>
      <c r="S34" s="257">
        <f>GETPIVOTDATA("Sum of New UG E-Learning",'Pivot Table for Fact Book'!$A$3,"State","MS","type",7,"Type2","Two-Year")</f>
        <v>0</v>
      </c>
      <c r="T34" s="257">
        <f>GETPIVOTDATA("Sum of Old UG E-Learning",'Pivot Table for Fact Book'!$A$3,"State","MS","type",8,"Type2","Two-Year")</f>
        <v>279955</v>
      </c>
      <c r="U34" s="257">
        <f>GETPIVOTDATA("Sum of New UG E-Learning",'Pivot Table for Fact Book'!$A$3,"State","MS","type",8,"Type2","Two-Year")</f>
        <v>284811</v>
      </c>
      <c r="V34" s="257">
        <f>GETPIVOTDATA("Sum of Old UG E-Learning",'Pivot Table for Fact Book'!$A$3,"State","MS","type",9,"Type2","Two-Year")</f>
        <v>187307</v>
      </c>
      <c r="W34" s="257">
        <f>GETPIVOTDATA("Sum of New UG E-Learning",'Pivot Table for Fact Book'!$A$3,"State","MS","type",9,"Type2","Two-Year")</f>
        <v>197681</v>
      </c>
      <c r="X34" s="257">
        <f>GETPIVOTDATA("Sum of Old UG E-Learning",'Pivot Table for Fact Book'!$A$3,"State","MS","type",10,"Type2","Two-Year")</f>
        <v>19671</v>
      </c>
      <c r="Y34" s="257">
        <f>GETPIVOTDATA("Sum of New UG E-Learning",'Pivot Table for Fact Book'!$A$3,"State","MS","type",10,"Type2","Two-Year")</f>
        <v>25806</v>
      </c>
      <c r="Z34" s="259">
        <f>GETPIVOTDATA("Sum of Old UG E-Learning",'Pivot Table for Fact Book'!$A$3,"State","MS","Type2","Two-Year")</f>
        <v>486933</v>
      </c>
      <c r="AA34" s="259">
        <f>GETPIVOTDATA("Sum of New UG E-Learning",'Pivot Table for Fact Book'!$A$3,"State","MS","Type2","Two-Year")</f>
        <v>508298</v>
      </c>
      <c r="AB34" s="256">
        <f>+GETPIVOTDATA("Sum of Old UG E-Learning",'Pivot Table for Fact Book'!$A$3,"State","MS","type",12,"type2","Techncial")</f>
        <v>0</v>
      </c>
      <c r="AC34" s="257">
        <f>+GETPIVOTDATA("Sum of New UG E-Learning",'Pivot Table for Fact Book'!$A$3,"State","MS","type",12,"type2","Techncial")</f>
        <v>0</v>
      </c>
      <c r="AD34" s="257">
        <f>+GETPIVOTDATA("Sum of Old UG E-Learning",'Pivot Table for Fact Book'!$A$3,"State","MS","type",13,"type2","Techncial")</f>
        <v>0</v>
      </c>
      <c r="AE34" s="257">
        <f>+GETPIVOTDATA("Sum of New UG E-Learning",'Pivot Table for Fact Book'!$A$3,"State","MS","type",13,"type2","Techncial")</f>
        <v>0</v>
      </c>
      <c r="AF34" s="261">
        <f>+GETPIVOTDATA("Sum of Old UG E-Learning",'Pivot Table for Fact Book'!$A$3,"State","MS","type2","Techncial")</f>
        <v>0</v>
      </c>
      <c r="AG34" s="261">
        <f>+GETPIVOTDATA("Sum of New UG E-Learning",'Pivot Table for Fact Book'!$A$3,"State","MS","type2","Techncial")</f>
        <v>0</v>
      </c>
    </row>
    <row r="35" spans="1:33">
      <c r="A35" s="269" t="s">
        <v>834</v>
      </c>
      <c r="B35" s="256">
        <f>GETPIVOTDATA("Sum of Old UG E-Learning",'Pivot Table for Fact Book'!$A$3,"State","NC","type",1,"Type2","Four-Year")</f>
        <v>312998</v>
      </c>
      <c r="C35" s="257">
        <f>GETPIVOTDATA("Sum of New UG E-Learning",'Pivot Table for Fact Book'!$A$3,"State","NC","type",1,"Type2","Four-Year")</f>
        <v>342096</v>
      </c>
      <c r="D35" s="256">
        <f>GETPIVOTDATA("Sum of Old UG E-Learning",'Pivot Table for Fact Book'!$A$3,"State","NC","type",2,"Type2","Four-Year")</f>
        <v>127489</v>
      </c>
      <c r="E35" s="257">
        <f>GETPIVOTDATA("Sum of New UG E-Learning",'Pivot Table for Fact Book'!$A$3,"State","NC","type",2,"Type2","Four-Year")</f>
        <v>140534</v>
      </c>
      <c r="F35" s="256">
        <f>GETPIVOTDATA("Sum of Old UG E-Learning",'Pivot Table for Fact Book'!$A$3,"State","NC","type",3,"Type2","Four-Year")</f>
        <v>247893</v>
      </c>
      <c r="G35" s="257">
        <f>GETPIVOTDATA("Sum of New UG E-Learning",'Pivot Table for Fact Book'!$A$3,"State","NC","type",3,"Type2","Four-Year")</f>
        <v>281705</v>
      </c>
      <c r="H35" s="256">
        <f>GETPIVOTDATA("Sum of Old UG E-Learning",'Pivot Table for Fact Book'!$A$3,"State","NC","type",4,"Type2","Four-Year")</f>
        <v>47284</v>
      </c>
      <c r="I35" s="257">
        <f>GETPIVOTDATA("Sum of New UG E-Learning",'Pivot Table for Fact Book'!$A$3,"State","NC","type",4,"Type2","Four-Year")</f>
        <v>56361</v>
      </c>
      <c r="J35" s="256">
        <f>GETPIVOTDATA("Sum of Old UG E-Learning",'Pivot Table for Fact Book'!$A$3,"State","NC","type",5,"Type2","Four-Year")</f>
        <v>66021</v>
      </c>
      <c r="K35" s="257">
        <f>GETPIVOTDATA("Sum of New UG E-Learning",'Pivot Table for Fact Book'!$A$3,"State","NC","type",5,"Type2","Four-Year")</f>
        <v>75764</v>
      </c>
      <c r="L35" s="256">
        <f>GETPIVOTDATA("Sum of Old UG E-Learning",'Pivot Table for Fact Book'!$A$3,"State","NC","type",6,"Type2","Four-Year")</f>
        <v>8862</v>
      </c>
      <c r="M35" s="257">
        <f>GETPIVOTDATA("Sum of New UG E-Learning",'Pivot Table for Fact Book'!$A$3,"State","NC","type",6,"Type2","Four-Year")</f>
        <v>10478</v>
      </c>
      <c r="N35" s="256">
        <f>GETPIVOTDATA("Sum of Old UG E-Learning",'Pivot Table for Fact Book'!$A$3,"State","NC","type",15,"Type2","Four-Year")</f>
        <v>0</v>
      </c>
      <c r="O35" s="257">
        <f>GETPIVOTDATA("Sum of New UG E-Learning",'Pivot Table for Fact Book'!$A$3,"State","NC","type",15,"Type2","Four-Year")</f>
        <v>849</v>
      </c>
      <c r="P35" s="258">
        <f>GETPIVOTDATA("Sum of Old UG E-Learning",'Pivot Table for Fact Book'!$A$3,"State","NC","Type2","Four-Year")</f>
        <v>810547</v>
      </c>
      <c r="Q35" s="258">
        <f>GETPIVOTDATA("Sum of New UG E-Learning",'Pivot Table for Fact Book'!$A$3,"State","NC","Type2","Four-Year")</f>
        <v>907787</v>
      </c>
      <c r="R35" s="256">
        <f>GETPIVOTDATA("Sum of Old UG E-Learning",'Pivot Table for Fact Book'!$A$3,"State","NC","type",7,"Type2","Two-Year")</f>
        <v>0</v>
      </c>
      <c r="S35" s="257">
        <f>GETPIVOTDATA("Sum of New UG E-Learning",'Pivot Table for Fact Book'!$A$3,"State","NC","type",7,"Type2","Two-Year")</f>
        <v>0</v>
      </c>
      <c r="T35" s="257">
        <f>GETPIVOTDATA("Sum of Old UG E-Learning",'Pivot Table for Fact Book'!$A$3,"State","NC","type",8,"Type2","Two-Year")</f>
        <v>870479</v>
      </c>
      <c r="U35" s="257">
        <f>GETPIVOTDATA("Sum of New UG E-Learning",'Pivot Table for Fact Book'!$A$3,"State","NC","type",8,"Type2","Two-Year")</f>
        <v>922965</v>
      </c>
      <c r="V35" s="257">
        <f>GETPIVOTDATA("Sum of Old UG E-Learning",'Pivot Table for Fact Book'!$A$3,"State","NC","type",9,"Type2","Two-Year")</f>
        <v>784142.5</v>
      </c>
      <c r="W35" s="257">
        <f>GETPIVOTDATA("Sum of New UG E-Learning",'Pivot Table for Fact Book'!$A$3,"State","NC","type",9,"Type2","Two-Year")</f>
        <v>819645</v>
      </c>
      <c r="X35" s="257">
        <f>GETPIVOTDATA("Sum of Old UG E-Learning",'Pivot Table for Fact Book'!$A$3,"State","NC","type",10,"Type2","Two-Year")</f>
        <v>383041</v>
      </c>
      <c r="Y35" s="257">
        <f>GETPIVOTDATA("Sum of New UG E-Learning",'Pivot Table for Fact Book'!$A$3,"State","NC","type",10,"Type2","Two-Year")</f>
        <v>400730</v>
      </c>
      <c r="Z35" s="259">
        <f>GETPIVOTDATA("Sum of Old UG E-Learning",'Pivot Table for Fact Book'!$A$3,"State","NC","Type2","Two-Year")</f>
        <v>2037662.5</v>
      </c>
      <c r="AA35" s="259">
        <f>GETPIVOTDATA("Sum of New UG E-Learning",'Pivot Table for Fact Book'!$A$3,"State","NC","Type2","Two-Year")</f>
        <v>2143340</v>
      </c>
      <c r="AB35" s="256">
        <f>+GETPIVOTDATA("Sum of Old UG E-Learning",'Pivot Table for Fact Book'!$A$3,"State","NC","type",12,"type2","Techncial")</f>
        <v>0</v>
      </c>
      <c r="AC35" s="257">
        <f>+GETPIVOTDATA("Sum of New UG E-Learning",'Pivot Table for Fact Book'!$A$3,"State","NC","type",12,"type2","Techncial")</f>
        <v>0</v>
      </c>
      <c r="AD35" s="257">
        <f>+GETPIVOTDATA("Sum of Old UG E-Learning",'Pivot Table for Fact Book'!$A$3,"State","NC","type",13,"type2","Techncial")</f>
        <v>0</v>
      </c>
      <c r="AE35" s="257">
        <f>+GETPIVOTDATA("Sum of New UG E-Learning",'Pivot Table for Fact Book'!$A$3,"State","NC","type",13,"type2","Techncial")</f>
        <v>0</v>
      </c>
      <c r="AF35" s="261">
        <f>+GETPIVOTDATA("Sum of Old UG E-Learning",'Pivot Table for Fact Book'!$A$3,"State","NC","type2","Techncial")</f>
        <v>0</v>
      </c>
      <c r="AG35" s="261">
        <f>+GETPIVOTDATA("Sum of New UG E-Learning",'Pivot Table for Fact Book'!$A$3,"State","NC","type2","Techncial")</f>
        <v>0</v>
      </c>
    </row>
    <row r="36" spans="1:33">
      <c r="A36" s="269" t="s">
        <v>835</v>
      </c>
      <c r="B36" s="256">
        <f>GETPIVOTDATA("Sum of Old UG E-Learning",'Pivot Table for Fact Book'!$A$3,"State","OK","type",1,"Type2","Four-Year")</f>
        <v>161110</v>
      </c>
      <c r="C36" s="257">
        <f>GETPIVOTDATA("Sum of New UG E-Learning",'Pivot Table for Fact Book'!$A$3,"State","OK","type",1,"Type2","Four-Year")</f>
        <v>174079</v>
      </c>
      <c r="D36" s="256">
        <f>GETPIVOTDATA("Sum of Old UG E-Learning",'Pivot Table for Fact Book'!$A$3,"State","OK","type",2,"Type2","Four-Year")</f>
        <v>0</v>
      </c>
      <c r="E36" s="257">
        <f>GETPIVOTDATA("Sum of New UG E-Learning",'Pivot Table for Fact Book'!$A$3,"State","OK","type",2,"Type2","Four-Year")</f>
        <v>0</v>
      </c>
      <c r="F36" s="256">
        <f>GETPIVOTDATA("Sum of Old UG E-Learning",'Pivot Table for Fact Book'!$A$3,"State","OK","type",3,"Type2","Four-Year")</f>
        <v>124338</v>
      </c>
      <c r="G36" s="257">
        <f>GETPIVOTDATA("Sum of New UG E-Learning",'Pivot Table for Fact Book'!$A$3,"State","OK","type",3,"Type2","Four-Year")</f>
        <v>132910</v>
      </c>
      <c r="H36" s="256">
        <f>GETPIVOTDATA("Sum of Old UG E-Learning",'Pivot Table for Fact Book'!$A$3,"State","OK","type",4,"Type2","Four-Year")</f>
        <v>58866</v>
      </c>
      <c r="I36" s="257">
        <f>GETPIVOTDATA("Sum of New UG E-Learning",'Pivot Table for Fact Book'!$A$3,"State","OK","type",4,"Type2","Four-Year")</f>
        <v>66548</v>
      </c>
      <c r="J36" s="256">
        <f>GETPIVOTDATA("Sum of Old UG E-Learning",'Pivot Table for Fact Book'!$A$3,"State","OK","type",5,"Type2","Four-Year")</f>
        <v>70154</v>
      </c>
      <c r="K36" s="257">
        <f>GETPIVOTDATA("Sum of New UG E-Learning",'Pivot Table for Fact Book'!$A$3,"State","OK","type",5,"Type2","Four-Year")</f>
        <v>72416</v>
      </c>
      <c r="L36" s="256">
        <f>GETPIVOTDATA("Sum of Old UG E-Learning",'Pivot Table for Fact Book'!$A$3,"State","OK","type",6,"Type2","Four-Year")</f>
        <v>31830</v>
      </c>
      <c r="M36" s="257">
        <f>GETPIVOTDATA("Sum of New UG E-Learning",'Pivot Table for Fact Book'!$A$3,"State","OK","type",6,"Type2","Four-Year")</f>
        <v>35831</v>
      </c>
      <c r="N36" s="256">
        <f>GETPIVOTDATA("Sum of Old UG E-Learning",'Pivot Table for Fact Book'!$A$3,"State","OK","type",15,"Type2","Four-Year")</f>
        <v>0</v>
      </c>
      <c r="O36" s="257">
        <f>GETPIVOTDATA("Sum of New UG E-Learning",'Pivot Table for Fact Book'!$A$3,"State","OK","type",15,"Type2","Four-Year")</f>
        <v>0</v>
      </c>
      <c r="P36" s="258">
        <f>GETPIVOTDATA("Sum of Old UG E-Learning",'Pivot Table for Fact Book'!$A$3,"State","OK","Type2","Four-Year")</f>
        <v>446298</v>
      </c>
      <c r="Q36" s="258">
        <f>GETPIVOTDATA("Sum of New UG E-Learning",'Pivot Table for Fact Book'!$A$3,"State","OK","Type2","Four-Year")</f>
        <v>481784</v>
      </c>
      <c r="R36" s="256">
        <f>GETPIVOTDATA("Sum of Old UG E-Learning",'Pivot Table for Fact Book'!$A$3,"State","OK","type",7,"Type2","Two-Year")</f>
        <v>71853</v>
      </c>
      <c r="S36" s="257">
        <f>GETPIVOTDATA("Sum of New UG E-Learning",'Pivot Table for Fact Book'!$A$3,"State","OK","type",7,"Type2","Two-Year")</f>
        <v>67977</v>
      </c>
      <c r="T36" s="257">
        <f>GETPIVOTDATA("Sum of Old UG E-Learning",'Pivot Table for Fact Book'!$A$3,"State","OK","type",8,"Type2","Two-Year")</f>
        <v>158129</v>
      </c>
      <c r="U36" s="257">
        <f>GETPIVOTDATA("Sum of New UG E-Learning",'Pivot Table for Fact Book'!$A$3,"State","OK","type",8,"Type2","Two-Year")</f>
        <v>144144</v>
      </c>
      <c r="V36" s="257">
        <f>GETPIVOTDATA("Sum of Old UG E-Learning",'Pivot Table for Fact Book'!$A$3,"State","OK","type",9,"Type2","Two-Year")</f>
        <v>63903</v>
      </c>
      <c r="W36" s="257">
        <f>GETPIVOTDATA("Sum of New UG E-Learning",'Pivot Table for Fact Book'!$A$3,"State","OK","type",9,"Type2","Two-Year")</f>
        <v>66107</v>
      </c>
      <c r="X36" s="257">
        <f>GETPIVOTDATA("Sum of Old UG E-Learning",'Pivot Table for Fact Book'!$A$3,"State","OK","type",10,"Type2","Two-Year")</f>
        <v>98313</v>
      </c>
      <c r="Y36" s="257">
        <f>GETPIVOTDATA("Sum of New UG E-Learning",'Pivot Table for Fact Book'!$A$3,"State","OK","type",10,"Type2","Two-Year")</f>
        <v>101849</v>
      </c>
      <c r="Z36" s="259">
        <f>GETPIVOTDATA("Sum of Old UG E-Learning",'Pivot Table for Fact Book'!$A$3,"State","OK","Type2","Two-Year")</f>
        <v>392198</v>
      </c>
      <c r="AA36" s="259">
        <f>GETPIVOTDATA("Sum of New UG E-Learning",'Pivot Table for Fact Book'!$A$3,"State","OK","Type2","Two-Year")</f>
        <v>380077</v>
      </c>
      <c r="AB36" s="256">
        <f>+GETPIVOTDATA("Sum of Old UG E-Learning",'Pivot Table for Fact Book'!$A$3,"State","OK","type",12,"type2","Techncial")</f>
        <v>0</v>
      </c>
      <c r="AC36" s="257">
        <f>+GETPIVOTDATA("Sum of New UG E-Learning",'Pivot Table for Fact Book'!$A$3,"State","OK","type",12,"type2","Techncial")</f>
        <v>0</v>
      </c>
      <c r="AD36" s="257">
        <f>+GETPIVOTDATA("Sum of Old UG E-Learning",'Pivot Table for Fact Book'!$A$3,"State","OK","type",13,"type2","Techncial")</f>
        <v>0</v>
      </c>
      <c r="AE36" s="257">
        <f>+GETPIVOTDATA("Sum of New UG E-Learning",'Pivot Table for Fact Book'!$A$3,"State","OK","type",13,"type2","Techncial")</f>
        <v>0</v>
      </c>
      <c r="AF36" s="261">
        <f>+GETPIVOTDATA("Sum of Old UG E-Learning",'Pivot Table for Fact Book'!$A$3,"State","OK","type2","Techncial")</f>
        <v>0</v>
      </c>
      <c r="AG36" s="261">
        <f>+GETPIVOTDATA("Sum of New UG E-Learning",'Pivot Table for Fact Book'!$A$3,"State","OK","type2","Techncial")</f>
        <v>0</v>
      </c>
    </row>
    <row r="37" spans="1:33">
      <c r="A37" s="269" t="s">
        <v>836</v>
      </c>
      <c r="B37" s="256">
        <f>GETPIVOTDATA("Sum of Old UG E-Learning",'Pivot Table for Fact Book'!$A$3,"State","SC","type",1,"Type2","Four-Year")</f>
        <v>122996</v>
      </c>
      <c r="C37" s="257">
        <f>GETPIVOTDATA("Sum of New UG E-Learning",'Pivot Table for Fact Book'!$A$3,"State","SC","type",1,"Type2","Four-Year")</f>
        <v>146397</v>
      </c>
      <c r="D37" s="256">
        <f>GETPIVOTDATA("Sum of Old UG E-Learning",'Pivot Table for Fact Book'!$A$3,"State","SC","type",2,"Type2","Four-Year")</f>
        <v>0</v>
      </c>
      <c r="E37" s="257">
        <f>GETPIVOTDATA("Sum of New UG E-Learning",'Pivot Table for Fact Book'!$A$3,"State","SC","type",2,"Type2","Four-Year")</f>
        <v>0</v>
      </c>
      <c r="F37" s="256">
        <f>GETPIVOTDATA("Sum of Old UG E-Learning",'Pivot Table for Fact Book'!$A$3,"State","SC","type",3,"Type2","Four-Year")</f>
        <v>37478</v>
      </c>
      <c r="G37" s="257">
        <f>GETPIVOTDATA("Sum of New UG E-Learning",'Pivot Table for Fact Book'!$A$3,"State","SC","type",3,"Type2","Four-Year")</f>
        <v>42374</v>
      </c>
      <c r="H37" s="256">
        <f>GETPIVOTDATA("Sum of Old UG E-Learning",'Pivot Table for Fact Book'!$A$3,"State","SC","type",4,"Type2","Four-Year")</f>
        <v>43467</v>
      </c>
      <c r="I37" s="257">
        <f>GETPIVOTDATA("Sum of New UG E-Learning",'Pivot Table for Fact Book'!$A$3,"State","SC","type",4,"Type2","Four-Year")</f>
        <v>50683</v>
      </c>
      <c r="J37" s="256">
        <f>GETPIVOTDATA("Sum of Old UG E-Learning",'Pivot Table for Fact Book'!$A$3,"State","SC","type",5,"Type2","Four-Year")</f>
        <v>9540</v>
      </c>
      <c r="K37" s="257">
        <f>GETPIVOTDATA("Sum of New UG E-Learning",'Pivot Table for Fact Book'!$A$3,"State","SC","type",5,"Type2","Four-Year")</f>
        <v>12738</v>
      </c>
      <c r="L37" s="256">
        <f>GETPIVOTDATA("Sum of Old UG E-Learning",'Pivot Table for Fact Book'!$A$3,"State","SC","type",6,"Type2","Four-Year")</f>
        <v>55293</v>
      </c>
      <c r="M37" s="257">
        <f>GETPIVOTDATA("Sum of New UG E-Learning",'Pivot Table for Fact Book'!$A$3,"State","SC","type",6,"Type2","Four-Year")</f>
        <v>82876</v>
      </c>
      <c r="N37" s="256">
        <f>GETPIVOTDATA("Sum of Old UG E-Learning",'Pivot Table for Fact Book'!$A$3,"State","SC","type",15,"Type2","Four-Year")</f>
        <v>0</v>
      </c>
      <c r="O37" s="257">
        <f>GETPIVOTDATA("Sum of New UG E-Learning",'Pivot Table for Fact Book'!$A$3,"State","SC","type",15,"Type2","Four-Year")</f>
        <v>0</v>
      </c>
      <c r="P37" s="258">
        <f>GETPIVOTDATA("Sum of Old UG E-Learning",'Pivot Table for Fact Book'!$A$3,"State","SC","Type2","Four-Year")</f>
        <v>268774</v>
      </c>
      <c r="Q37" s="258">
        <f>GETPIVOTDATA("Sum of New UG E-Learning",'Pivot Table for Fact Book'!$A$3,"State","SC","Type2","Four-Year")</f>
        <v>335068</v>
      </c>
      <c r="R37" s="256">
        <f>GETPIVOTDATA("Sum of Old UG E-Learning",'Pivot Table for Fact Book'!$A$3,"State","SC","type",7,"Type2","Two-Year")</f>
        <v>0</v>
      </c>
      <c r="S37" s="257">
        <f>GETPIVOTDATA("Sum of New UG E-Learning",'Pivot Table for Fact Book'!$A$3,"State","SC","type",7,"Type2","Two-Year")</f>
        <v>0</v>
      </c>
      <c r="T37" s="257">
        <f>GETPIVOTDATA("Sum of Old UG E-Learning",'Pivot Table for Fact Book'!$A$3,"State","SC","type",8,"Type2","Two-Year")</f>
        <v>290651</v>
      </c>
      <c r="U37" s="257">
        <f>GETPIVOTDATA("Sum of New UG E-Learning",'Pivot Table for Fact Book'!$A$3,"State","SC","type",8,"Type2","Two-Year")</f>
        <v>314412</v>
      </c>
      <c r="V37" s="257">
        <f>GETPIVOTDATA("Sum of Old UG E-Learning",'Pivot Table for Fact Book'!$A$3,"State","SC","type",9,"Type2","Two-Year")</f>
        <v>222702</v>
      </c>
      <c r="W37" s="257">
        <f>GETPIVOTDATA("Sum of New UG E-Learning",'Pivot Table for Fact Book'!$A$3,"State","SC","type",9,"Type2","Two-Year")</f>
        <v>201139</v>
      </c>
      <c r="X37" s="257">
        <f>GETPIVOTDATA("Sum of Old UG E-Learning",'Pivot Table for Fact Book'!$A$3,"State","SC","type",10,"Type2","Two-Year")</f>
        <v>63558</v>
      </c>
      <c r="Y37" s="257">
        <f>GETPIVOTDATA("Sum of New UG E-Learning",'Pivot Table for Fact Book'!$A$3,"State","SC","type",10,"Type2","Two-Year")</f>
        <v>73323</v>
      </c>
      <c r="Z37" s="259">
        <f>GETPIVOTDATA("Sum of Old UG E-Learning",'Pivot Table for Fact Book'!$A$3,"State","SC","Type2","Two-Year")</f>
        <v>576911</v>
      </c>
      <c r="AA37" s="259">
        <f>GETPIVOTDATA("Sum of New UG E-Learning",'Pivot Table for Fact Book'!$A$3,"State","SC","Type2","Two-Year")</f>
        <v>588874</v>
      </c>
      <c r="AB37" s="256">
        <f>+GETPIVOTDATA("Sum of Old UG E-Learning",'Pivot Table for Fact Book'!$A$3,"State","SC","type",12,"type2","Techncial")</f>
        <v>0</v>
      </c>
      <c r="AC37" s="257">
        <f>+GETPIVOTDATA("Sum of New UG E-Learning",'Pivot Table for Fact Book'!$A$3,"State","SC","type",12,"type2","Techncial")</f>
        <v>0</v>
      </c>
      <c r="AD37" s="257">
        <f>+GETPIVOTDATA("Sum of Old UG E-Learning",'Pivot Table for Fact Book'!$A$3,"State","SC","type",13,"type2","Techncial")</f>
        <v>0</v>
      </c>
      <c r="AE37" s="257">
        <f>+GETPIVOTDATA("Sum of New UG E-Learning",'Pivot Table for Fact Book'!$A$3,"State","SC","type",13,"type2","Techncial")</f>
        <v>0</v>
      </c>
      <c r="AF37" s="261">
        <f>+GETPIVOTDATA("Sum of Old UG E-Learning",'Pivot Table for Fact Book'!$A$3,"State","SC","type2","Techncial")</f>
        <v>0</v>
      </c>
      <c r="AG37" s="261">
        <f>+GETPIVOTDATA("Sum of New UG E-Learning",'Pivot Table for Fact Book'!$A$3,"State","SC","type2","Techncial")</f>
        <v>0</v>
      </c>
    </row>
    <row r="38" spans="1:33">
      <c r="A38" s="269" t="s">
        <v>837</v>
      </c>
      <c r="B38" s="256">
        <f>GETPIVOTDATA("Sum of Old UG E-Learning",'Pivot Table for Fact Book'!$A$3,"State","TN","type",1,"Type2","Four-Year")</f>
        <v>141822</v>
      </c>
      <c r="C38" s="257">
        <f>GETPIVOTDATA("Sum of New UG E-Learning",'Pivot Table for Fact Book'!$A$3,"State","TN","type",1,"Type2","Four-Year")</f>
        <v>162678</v>
      </c>
      <c r="D38" s="256">
        <f>GETPIVOTDATA("Sum of Old UG E-Learning",'Pivot Table for Fact Book'!$A$3,"State","TN","type",2,"Type2","Four-Year")</f>
        <v>197281</v>
      </c>
      <c r="E38" s="257">
        <f>GETPIVOTDATA("Sum of New UG E-Learning",'Pivot Table for Fact Book'!$A$3,"State","TN","type",2,"Type2","Four-Year")</f>
        <v>213835</v>
      </c>
      <c r="F38" s="256">
        <f>GETPIVOTDATA("Sum of Old UG E-Learning",'Pivot Table for Fact Book'!$A$3,"State","TN","type",3,"Type2","Four-Year")</f>
        <v>214242</v>
      </c>
      <c r="G38" s="257">
        <f>GETPIVOTDATA("Sum of New UG E-Learning",'Pivot Table for Fact Book'!$A$3,"State","TN","type",3,"Type2","Four-Year")</f>
        <v>224000</v>
      </c>
      <c r="H38" s="256">
        <f>GETPIVOTDATA("Sum of Old UG E-Learning",'Pivot Table for Fact Book'!$A$3,"State","TN","type",4,"Type2","Four-Year")</f>
        <v>0</v>
      </c>
      <c r="I38" s="257">
        <f>GETPIVOTDATA("Sum of New UG E-Learning",'Pivot Table for Fact Book'!$A$3,"State","TN","type",4,"Type2","Four-Year")</f>
        <v>0</v>
      </c>
      <c r="J38" s="256">
        <f>GETPIVOTDATA("Sum of Old UG E-Learning",'Pivot Table for Fact Book'!$A$3,"State","TN","type",5,"Type2","Four-Year")</f>
        <v>24874</v>
      </c>
      <c r="K38" s="257">
        <f>GETPIVOTDATA("Sum of New UG E-Learning",'Pivot Table for Fact Book'!$A$3,"State","TN","type",5,"Type2","Four-Year")</f>
        <v>29643</v>
      </c>
      <c r="L38" s="256">
        <f>GETPIVOTDATA("Sum of Old UG E-Learning",'Pivot Table for Fact Book'!$A$3,"State","TN","type",6,"Type2","Four-Year")</f>
        <v>0</v>
      </c>
      <c r="M38" s="257">
        <f>GETPIVOTDATA("Sum of New UG E-Learning",'Pivot Table for Fact Book'!$A$3,"State","TN","type",6,"Type2","Four-Year")</f>
        <v>0</v>
      </c>
      <c r="N38" s="256">
        <f>GETPIVOTDATA("Sum of Old UG E-Learning",'Pivot Table for Fact Book'!$A$3,"State","TN","type",15,"Type2","Four-Year")</f>
        <v>0</v>
      </c>
      <c r="O38" s="257">
        <f>GETPIVOTDATA("Sum of New UG E-Learning",'Pivot Table for Fact Book'!$A$3,"State","TN","type",15,"Type2","Four-Year")</f>
        <v>0</v>
      </c>
      <c r="P38" s="258">
        <f>GETPIVOTDATA("Sum of Old UG E-Learning",'Pivot Table for Fact Book'!$A$3,"State","TN","Type2","Four-Year")</f>
        <v>578219</v>
      </c>
      <c r="Q38" s="258">
        <f>GETPIVOTDATA("Sum of New UG E-Learning",'Pivot Table for Fact Book'!$A$3,"State","TN","Type2","Four-Year")</f>
        <v>630156</v>
      </c>
      <c r="R38" s="256">
        <f>GETPIVOTDATA("Sum of Old UG E-Learning",'Pivot Table for Fact Book'!$A$3,"State","TN","type",7,"Type2","Two-Year")</f>
        <v>0</v>
      </c>
      <c r="S38" s="257">
        <f>GETPIVOTDATA("Sum of New UG E-Learning",'Pivot Table for Fact Book'!$A$3,"State","TN","type",7,"Type2","Two-Year")</f>
        <v>0</v>
      </c>
      <c r="T38" s="257">
        <f>GETPIVOTDATA("Sum of Old UG E-Learning",'Pivot Table for Fact Book'!$A$3,"State","TN","type",8,"Type2","Two-Year")</f>
        <v>226834</v>
      </c>
      <c r="U38" s="257">
        <f>GETPIVOTDATA("Sum of New UG E-Learning",'Pivot Table for Fact Book'!$A$3,"State","TN","type",8,"Type2","Two-Year")</f>
        <v>247639</v>
      </c>
      <c r="V38" s="257">
        <f>GETPIVOTDATA("Sum of Old UG E-Learning",'Pivot Table for Fact Book'!$A$3,"State","TN","type",9,"Type2","Two-Year")</f>
        <v>202335</v>
      </c>
      <c r="W38" s="257">
        <f>GETPIVOTDATA("Sum of New UG E-Learning",'Pivot Table for Fact Book'!$A$3,"State","TN","type",9,"Type2","Two-Year")</f>
        <v>225465</v>
      </c>
      <c r="X38" s="257">
        <f>GETPIVOTDATA("Sum of Old UG E-Learning",'Pivot Table for Fact Book'!$A$3,"State","TN","type",10,"Type2","Two-Year")</f>
        <v>13754</v>
      </c>
      <c r="Y38" s="257">
        <f>GETPIVOTDATA("Sum of New UG E-Learning",'Pivot Table for Fact Book'!$A$3,"State","TN","type",10,"Type2","Two-Year")</f>
        <v>15711</v>
      </c>
      <c r="Z38" s="259">
        <f>GETPIVOTDATA("Sum of Old UG E-Learning",'Pivot Table for Fact Book'!$A$3,"State","TN","Type2","Two-Year")</f>
        <v>442923</v>
      </c>
      <c r="AA38" s="259">
        <f>GETPIVOTDATA("Sum of New UG E-Learning",'Pivot Table for Fact Book'!$A$3,"State","TN","Type2","Two-Year")</f>
        <v>488815</v>
      </c>
      <c r="AB38" s="256">
        <f>+GETPIVOTDATA("Sum of Old UG E-Learning",'Pivot Table for Fact Book'!$A$3,"State","TN","type",12,"type2","Techncial")</f>
        <v>0</v>
      </c>
      <c r="AC38" s="257">
        <f>+GETPIVOTDATA("Sum of New UG E-Learning",'Pivot Table for Fact Book'!$A$3,"State","TN","type",12,"type2","Techncial")</f>
        <v>0</v>
      </c>
      <c r="AD38" s="257">
        <f>+GETPIVOTDATA("Sum of Old UG E-Learning",'Pivot Table for Fact Book'!$A$3,"State","TN","type",13,"type2","Techncial")</f>
        <v>0</v>
      </c>
      <c r="AE38" s="257">
        <f>+GETPIVOTDATA("Sum of New UG E-Learning",'Pivot Table for Fact Book'!$A$3,"State","TN","type",13,"type2","Techncial")</f>
        <v>0</v>
      </c>
      <c r="AF38" s="261">
        <f>+GETPIVOTDATA("Sum of Old UG E-Learning",'Pivot Table for Fact Book'!$A$3,"State","TN","type2","Techncial")</f>
        <v>0</v>
      </c>
      <c r="AG38" s="261">
        <f>+GETPIVOTDATA("Sum of New UG E-Learning",'Pivot Table for Fact Book'!$A$3,"State","TN","type2","Techncial")</f>
        <v>0</v>
      </c>
    </row>
    <row r="39" spans="1:33">
      <c r="A39" s="269" t="s">
        <v>838</v>
      </c>
      <c r="B39" s="256">
        <f>GETPIVOTDATA("Sum of Old UG E-Learning",'Pivot Table for Fact Book'!$A$3,"State","TX","type",1,"Type2","Four-Year")</f>
        <v>1100552</v>
      </c>
      <c r="C39" s="257">
        <f>GETPIVOTDATA("Sum of New UG E-Learning",'Pivot Table for Fact Book'!$A$3,"State","TX","type",1,"Type2","Four-Year")</f>
        <v>1264917</v>
      </c>
      <c r="D39" s="256">
        <f>GETPIVOTDATA("Sum of Old UG E-Learning",'Pivot Table for Fact Book'!$A$3,"State","TX","type",2,"Type2","Four-Year")</f>
        <v>229518</v>
      </c>
      <c r="E39" s="257">
        <f>GETPIVOTDATA("Sum of New UG E-Learning",'Pivot Table for Fact Book'!$A$3,"State","TX","type",2,"Type2","Four-Year")</f>
        <v>255362</v>
      </c>
      <c r="F39" s="256">
        <f>GETPIVOTDATA("Sum of Old UG E-Learning",'Pivot Table for Fact Book'!$A$3,"State","TX","type",3,"Type2","Four-Year")</f>
        <v>909072</v>
      </c>
      <c r="G39" s="257">
        <f>GETPIVOTDATA("Sum of New UG E-Learning",'Pivot Table for Fact Book'!$A$3,"State","TX","type",3,"Type2","Four-Year")</f>
        <v>1017759</v>
      </c>
      <c r="H39" s="256">
        <f>GETPIVOTDATA("Sum of Old UG E-Learning",'Pivot Table for Fact Book'!$A$3,"State","TX","type",4,"Type2","Four-Year")</f>
        <v>77052</v>
      </c>
      <c r="I39" s="257">
        <f>GETPIVOTDATA("Sum of New UG E-Learning",'Pivot Table for Fact Book'!$A$3,"State","TX","type",4,"Type2","Four-Year")</f>
        <v>82481</v>
      </c>
      <c r="J39" s="256">
        <f>GETPIVOTDATA("Sum of Old UG E-Learning",'Pivot Table for Fact Book'!$A$3,"State","TX","type",5,"Type2","Four-Year")</f>
        <v>166973</v>
      </c>
      <c r="K39" s="257">
        <f>GETPIVOTDATA("Sum of New UG E-Learning",'Pivot Table for Fact Book'!$A$3,"State","TX","type",5,"Type2","Four-Year")</f>
        <v>181053</v>
      </c>
      <c r="L39" s="256">
        <f>GETPIVOTDATA("Sum of Old UG E-Learning",'Pivot Table for Fact Book'!$A$3,"State","TX","type",6,"Type2","Four-Year")</f>
        <v>0</v>
      </c>
      <c r="M39" s="257">
        <f>GETPIVOTDATA("Sum of New UG E-Learning",'Pivot Table for Fact Book'!$A$3,"State","TX","type",6,"Type2","Four-Year")</f>
        <v>0</v>
      </c>
      <c r="N39" s="256">
        <f>GETPIVOTDATA("Sum of Old UG E-Learning",'Pivot Table for Fact Book'!$A$3,"State","TX","type",15,"Type2","Four-Year")</f>
        <v>0</v>
      </c>
      <c r="O39" s="257">
        <f>GETPIVOTDATA("Sum of New UG E-Learning",'Pivot Table for Fact Book'!$A$3,"State","TX","type",15,"Type2","Four-Year")</f>
        <v>0</v>
      </c>
      <c r="P39" s="258">
        <f>GETPIVOTDATA("Sum of Old UG E-Learning",'Pivot Table for Fact Book'!$A$3,"State","TX","Type2","Four-Year")</f>
        <v>2483167</v>
      </c>
      <c r="Q39" s="258">
        <f>GETPIVOTDATA("Sum of New UG E-Learning",'Pivot Table for Fact Book'!$A$3,"State","TX","Type2","Four-Year")</f>
        <v>2801572</v>
      </c>
      <c r="R39" s="256">
        <f>GETPIVOTDATA("Sum of Old UG E-Learning",'Pivot Table for Fact Book'!$A$3,"State","TX","type",7,"Type2","Two-Year")</f>
        <v>198249</v>
      </c>
      <c r="S39" s="257">
        <f>GETPIVOTDATA("Sum of New UG E-Learning",'Pivot Table for Fact Book'!$A$3,"State","TX","type",7,"Type2","Two-Year")</f>
        <v>204657</v>
      </c>
      <c r="T39" s="257">
        <f>GETPIVOTDATA("Sum of Old UG E-Learning",'Pivot Table for Fact Book'!$A$3,"State","TX","type",8,"Type2","Two-Year")</f>
        <v>2802450</v>
      </c>
      <c r="U39" s="257">
        <f>GETPIVOTDATA("Sum of New UG E-Learning",'Pivot Table for Fact Book'!$A$3,"State","TX","type",8,"Type2","Two-Year")</f>
        <v>3128369</v>
      </c>
      <c r="V39" s="257">
        <f>GETPIVOTDATA("Sum of Old UG E-Learning",'Pivot Table for Fact Book'!$A$3,"State","TX","type",9,"Type2","Two-Year")</f>
        <v>676603</v>
      </c>
      <c r="W39" s="257">
        <f>GETPIVOTDATA("Sum of New UG E-Learning",'Pivot Table for Fact Book'!$A$3,"State","TX","type",9,"Type2","Two-Year")</f>
        <v>747351</v>
      </c>
      <c r="X39" s="257">
        <f>GETPIVOTDATA("Sum of Old UG E-Learning",'Pivot Table for Fact Book'!$A$3,"State","TX","type",10,"Type2","Two-Year")</f>
        <v>190569</v>
      </c>
      <c r="Y39" s="257">
        <f>GETPIVOTDATA("Sum of New UG E-Learning",'Pivot Table for Fact Book'!$A$3,"State","TX","type",10,"Type2","Two-Year")</f>
        <v>212742</v>
      </c>
      <c r="Z39" s="259">
        <f>GETPIVOTDATA("Sum of Old UG E-Learning",'Pivot Table for Fact Book'!$A$3,"State","TX","Type2","Two-Year")</f>
        <v>3867871</v>
      </c>
      <c r="AA39" s="259">
        <f>GETPIVOTDATA("Sum of New UG E-Learning",'Pivot Table for Fact Book'!$A$3,"State","TX","Type2","Two-Year")</f>
        <v>4293119</v>
      </c>
      <c r="AB39" s="256">
        <f>+GETPIVOTDATA("Sum of Old UG E-Learning",'Pivot Table for Fact Book'!$A$3,"State","TX","type",12,"type2","Techncial")</f>
        <v>0</v>
      </c>
      <c r="AC39" s="257">
        <f>+GETPIVOTDATA("Sum of New UG E-Learning",'Pivot Table for Fact Book'!$A$3,"State","TX","type",12,"type2","Techncial")</f>
        <v>0</v>
      </c>
      <c r="AD39" s="257">
        <f>+GETPIVOTDATA("Sum of Old UG E-Learning",'Pivot Table for Fact Book'!$A$3,"State","TX","type",13,"type2","Techncial")</f>
        <v>0</v>
      </c>
      <c r="AE39" s="257">
        <f>+GETPIVOTDATA("Sum of New UG E-Learning",'Pivot Table for Fact Book'!$A$3,"State","TX","type",13,"type2","Techncial")</f>
        <v>0</v>
      </c>
      <c r="AF39" s="261">
        <f>+GETPIVOTDATA("Sum of Old UG E-Learning",'Pivot Table for Fact Book'!$A$3,"State","TX","type2","Techncial")</f>
        <v>0</v>
      </c>
      <c r="AG39" s="261">
        <f>+GETPIVOTDATA("Sum of New UG E-Learning",'Pivot Table for Fact Book'!$A$3,"State","TX","type2","Techncial")</f>
        <v>0</v>
      </c>
    </row>
    <row r="40" spans="1:33">
      <c r="A40" s="269" t="s">
        <v>839</v>
      </c>
      <c r="B40" s="256">
        <f>GETPIVOTDATA("Sum of Old UG E-Learning",'Pivot Table for Fact Book'!$A$3,"State","VA","type",1,"Type2","Four-Year")</f>
        <v>302166</v>
      </c>
      <c r="C40" s="257">
        <f>GETPIVOTDATA("Sum of New UG E-Learning",'Pivot Table for Fact Book'!$A$3,"State","VA","type",1,"Type2","Four-Year")</f>
        <v>344472.5</v>
      </c>
      <c r="D40" s="256">
        <f>GETPIVOTDATA("Sum of Old UG E-Learning",'Pivot Table for Fact Book'!$A$3,"State","VA","type",2,"Type2","Four-Year")</f>
        <v>651</v>
      </c>
      <c r="E40" s="257">
        <f>GETPIVOTDATA("Sum of New UG E-Learning",'Pivot Table for Fact Book'!$A$3,"State","VA","type",2,"Type2","Four-Year")</f>
        <v>740</v>
      </c>
      <c r="F40" s="256">
        <f>GETPIVOTDATA("Sum of Old UG E-Learning",'Pivot Table for Fact Book'!$A$3,"State","VA","type",3,"Type2","Four-Year")</f>
        <v>113881</v>
      </c>
      <c r="G40" s="257">
        <f>GETPIVOTDATA("Sum of New UG E-Learning",'Pivot Table for Fact Book'!$A$3,"State","VA","type",3,"Type2","Four-Year")</f>
        <v>125234</v>
      </c>
      <c r="H40" s="256">
        <f>GETPIVOTDATA("Sum of Old UG E-Learning",'Pivot Table for Fact Book'!$A$3,"State","VA","type",4,"Type2","Four-Year")</f>
        <v>0</v>
      </c>
      <c r="I40" s="257">
        <f>GETPIVOTDATA("Sum of New UG E-Learning",'Pivot Table for Fact Book'!$A$3,"State","VA","type",4,"Type2","Four-Year")</f>
        <v>0</v>
      </c>
      <c r="J40" s="256">
        <f>GETPIVOTDATA("Sum of Old UG E-Learning",'Pivot Table for Fact Book'!$A$3,"State","VA","type",5,"Type2","Four-Year")</f>
        <v>0</v>
      </c>
      <c r="K40" s="257">
        <f>GETPIVOTDATA("Sum of New UG E-Learning",'Pivot Table for Fact Book'!$A$3,"State","VA","type",5,"Type2","Four-Year")</f>
        <v>0</v>
      </c>
      <c r="L40" s="256">
        <f>GETPIVOTDATA("Sum of Old UG E-Learning",'Pivot Table for Fact Book'!$A$3,"State","VA","type",6,"Type2","Four-Year")</f>
        <v>10839</v>
      </c>
      <c r="M40" s="257">
        <f>GETPIVOTDATA("Sum of New UG E-Learning",'Pivot Table for Fact Book'!$A$3,"State","VA","type",6,"Type2","Four-Year")</f>
        <v>11516</v>
      </c>
      <c r="N40" s="256">
        <f>GETPIVOTDATA("Sum of Old UG E-Learning",'Pivot Table for Fact Book'!$A$3,"State","VA","type",15,"Type2","Four-Year")</f>
        <v>0</v>
      </c>
      <c r="O40" s="257">
        <f>GETPIVOTDATA("Sum of New UG E-Learning",'Pivot Table for Fact Book'!$A$3,"State","VA","type",15,"Type2","Four-Year")</f>
        <v>0</v>
      </c>
      <c r="P40" s="258">
        <f>GETPIVOTDATA("Sum of Old UG E-Learning",'Pivot Table for Fact Book'!$A$3,"State","VA","Type2","Four-Year")</f>
        <v>427537</v>
      </c>
      <c r="Q40" s="258">
        <f>GETPIVOTDATA("Sum of New UG E-Learning",'Pivot Table for Fact Book'!$A$3,"State","VA","Type2","Four-Year")</f>
        <v>481962.5</v>
      </c>
      <c r="R40" s="256">
        <f>GETPIVOTDATA("Sum of Old UG E-Learning",'Pivot Table for Fact Book'!$A$3,"State","VA","type",7,"Type2","Two-Year")</f>
        <v>0</v>
      </c>
      <c r="S40" s="257">
        <f>GETPIVOTDATA("Sum of New UG E-Learning",'Pivot Table for Fact Book'!$A$3,"State","VA","type",7,"Type2","Two-Year")</f>
        <v>0</v>
      </c>
      <c r="T40" s="257">
        <f>GETPIVOTDATA("Sum of Old UG E-Learning",'Pivot Table for Fact Book'!$A$3,"State","VA","type",8,"Type2","Two-Year")</f>
        <v>543540</v>
      </c>
      <c r="U40" s="257">
        <f>GETPIVOTDATA("Sum of New UG E-Learning",'Pivot Table for Fact Book'!$A$3,"State","VA","type",8,"Type2","Two-Year")</f>
        <v>539676</v>
      </c>
      <c r="V40" s="257">
        <f>GETPIVOTDATA("Sum of Old UG E-Learning",'Pivot Table for Fact Book'!$A$3,"State","VA","type",9,"Type2","Two-Year")</f>
        <v>237634</v>
      </c>
      <c r="W40" s="257">
        <f>GETPIVOTDATA("Sum of New UG E-Learning",'Pivot Table for Fact Book'!$A$3,"State","VA","type",9,"Type2","Two-Year")</f>
        <v>242807</v>
      </c>
      <c r="X40" s="257">
        <f>GETPIVOTDATA("Sum of Old UG E-Learning",'Pivot Table for Fact Book'!$A$3,"State","VA","type",10,"Type2","Two-Year")</f>
        <v>162065</v>
      </c>
      <c r="Y40" s="257">
        <f>GETPIVOTDATA("Sum of New UG E-Learning",'Pivot Table for Fact Book'!$A$3,"State","VA","type",10,"Type2","Two-Year")</f>
        <v>167797</v>
      </c>
      <c r="Z40" s="259">
        <f>GETPIVOTDATA("Sum of Old UG E-Learning",'Pivot Table for Fact Book'!$A$3,"State","VA","Type2","Two-Year")</f>
        <v>943239</v>
      </c>
      <c r="AA40" s="259">
        <f>GETPIVOTDATA("Sum of New UG E-Learning",'Pivot Table for Fact Book'!$A$3,"State","VA","Type2","Two-Year")</f>
        <v>950280</v>
      </c>
      <c r="AB40" s="256">
        <f>+GETPIVOTDATA("Sum of Old UG E-Learning",'Pivot Table for Fact Book'!$A$3,"State","VA","type",12,"type2","Techncial")</f>
        <v>0</v>
      </c>
      <c r="AC40" s="257">
        <f>+GETPIVOTDATA("Sum of New UG E-Learning",'Pivot Table for Fact Book'!$A$3,"State","VA","type",12,"type2","Techncial")</f>
        <v>0</v>
      </c>
      <c r="AD40" s="257">
        <f>+GETPIVOTDATA("Sum of Old UG E-Learning",'Pivot Table for Fact Book'!$A$3,"State","VA","type",13,"type2","Techncial")</f>
        <v>0</v>
      </c>
      <c r="AE40" s="257">
        <f>+GETPIVOTDATA("Sum of New UG E-Learning",'Pivot Table for Fact Book'!$A$3,"State","VA","type",13,"type2","Techncial")</f>
        <v>0</v>
      </c>
      <c r="AF40" s="261">
        <f>+GETPIVOTDATA("Sum of Old UG E-Learning",'Pivot Table for Fact Book'!$A$3,"State","VA","type2","Techncial")</f>
        <v>0</v>
      </c>
      <c r="AG40" s="261">
        <f>+GETPIVOTDATA("Sum of New UG E-Learning",'Pivot Table for Fact Book'!$A$3,"State","VA","type2","Techncial")</f>
        <v>0</v>
      </c>
    </row>
    <row r="41" spans="1:33">
      <c r="A41" s="290" t="s">
        <v>840</v>
      </c>
      <c r="B41" s="262">
        <f>GETPIVOTDATA("Sum of Old UG E-Learning",'Pivot Table for Fact Book'!$A$3,"State","WV","type",1,"Type2","Four-Year")</f>
        <v>75292</v>
      </c>
      <c r="C41" s="263">
        <f>GETPIVOTDATA("Sum of New UG E-Learning",'Pivot Table for Fact Book'!$A$3,"State","WV","type",1,"Type2","Four-Year")</f>
        <v>73069</v>
      </c>
      <c r="D41" s="262">
        <f>GETPIVOTDATA("Sum of Old UG E-Learning",'Pivot Table for Fact Book'!$A$3,"State","WV","type",2,"Type2","Four-Year")</f>
        <v>0</v>
      </c>
      <c r="E41" s="263">
        <f>GETPIVOTDATA("Sum of New UG E-Learning",'Pivot Table for Fact Book'!$A$3,"State","WV","type",2,"Type2","Four-Year")</f>
        <v>0</v>
      </c>
      <c r="F41" s="262">
        <f>GETPIVOTDATA("Sum of Old UG E-Learning",'Pivot Table for Fact Book'!$A$3,"State","WV","type",3,"Type2","Four-Year")</f>
        <v>43751</v>
      </c>
      <c r="G41" s="263">
        <f>GETPIVOTDATA("Sum of New UG E-Learning",'Pivot Table for Fact Book'!$A$3,"State","WV","type",3,"Type2","Four-Year")</f>
        <v>45440</v>
      </c>
      <c r="H41" s="262">
        <f>GETPIVOTDATA("Sum of Old UG E-Learning",'Pivot Table for Fact Book'!$A$3,"State","WV","type",4,"Type2","Four-Year")</f>
        <v>0</v>
      </c>
      <c r="I41" s="263">
        <f>GETPIVOTDATA("Sum of New UG E-Learning",'Pivot Table for Fact Book'!$A$3,"State","WV","type",4,"Type2","Four-Year")</f>
        <v>0</v>
      </c>
      <c r="J41" s="262">
        <f>GETPIVOTDATA("Sum of Old UG E-Learning",'Pivot Table for Fact Book'!$A$3,"State","WV","type",5,"Type2","Four-Year")</f>
        <v>40246</v>
      </c>
      <c r="K41" s="263">
        <f>GETPIVOTDATA("Sum of New UG E-Learning",'Pivot Table for Fact Book'!$A$3,"State","WV","type",5,"Type2","Four-Year")</f>
        <v>49939</v>
      </c>
      <c r="L41" s="262">
        <f>GETPIVOTDATA("Sum of Old UG E-Learning",'Pivot Table for Fact Book'!$A$3,"State","WV","type",6,"Type2","Four-Year")</f>
        <v>45336</v>
      </c>
      <c r="M41" s="263">
        <f>GETPIVOTDATA("Sum of New UG E-Learning",'Pivot Table for Fact Book'!$A$3,"State","WV","type",6,"Type2","Four-Year")</f>
        <v>49843</v>
      </c>
      <c r="N41" s="262">
        <f>GETPIVOTDATA("Sum of Old UG E-Learning",'Pivot Table for Fact Book'!$A$3,"State","WV","type",15,"Type2","Four-Year")</f>
        <v>0</v>
      </c>
      <c r="O41" s="263">
        <f>GETPIVOTDATA("Sum of New UG E-Learning",'Pivot Table for Fact Book'!$A$3,"State","WV","type",15,"Type2","Four-Year")</f>
        <v>0</v>
      </c>
      <c r="P41" s="264">
        <f>GETPIVOTDATA("Sum of Old UG E-Learning",'Pivot Table for Fact Book'!$A$3,"State","WV","Type2","Four-Year")</f>
        <v>204625</v>
      </c>
      <c r="Q41" s="264">
        <f>GETPIVOTDATA("Sum of New UG E-Learning",'Pivot Table for Fact Book'!$A$3,"State","WV","Type2","Four-Year")</f>
        <v>218291</v>
      </c>
      <c r="R41" s="262">
        <f>GETPIVOTDATA("Sum of Old UG E-Learning",'Pivot Table for Fact Book'!$A$3,"State","WV","type",7,"Type2","Two-Year")</f>
        <v>23034</v>
      </c>
      <c r="S41" s="263">
        <f>GETPIVOTDATA("Sum of New UG E-Learning",'Pivot Table for Fact Book'!$A$3,"State","WV","type",7,"Type2","Two-Year")</f>
        <v>27708</v>
      </c>
      <c r="T41" s="263">
        <f>GETPIVOTDATA("Sum of Old UG E-Learning",'Pivot Table for Fact Book'!$A$3,"State","WV","type",8,"Type2","Two-Year")</f>
        <v>0</v>
      </c>
      <c r="U41" s="263">
        <f>GETPIVOTDATA("Sum of New UG E-Learning",'Pivot Table for Fact Book'!$A$3,"State","WV","type",8,"Type2","Two-Year")</f>
        <v>0</v>
      </c>
      <c r="V41" s="263">
        <f>GETPIVOTDATA("Sum of Old UG E-Learning",'Pivot Table for Fact Book'!$A$3,"State","WV","type",9,"Type2","Two-Year")</f>
        <v>0</v>
      </c>
      <c r="W41" s="263">
        <f>GETPIVOTDATA("Sum of New UG E-Learning",'Pivot Table for Fact Book'!$A$3,"State","WV","type",9,"Type2","Two-Year")</f>
        <v>0</v>
      </c>
      <c r="X41" s="263">
        <f>GETPIVOTDATA("Sum of Old UG E-Learning",'Pivot Table for Fact Book'!$A$3,"State","WV","type",10,"Type2","Two-Year")</f>
        <v>81466</v>
      </c>
      <c r="Y41" s="263">
        <f>GETPIVOTDATA("Sum of New UG E-Learning",'Pivot Table for Fact Book'!$A$3,"State","WV","type",10,"Type2","Two-Year")</f>
        <v>87190</v>
      </c>
      <c r="Z41" s="265">
        <f>GETPIVOTDATA("Sum of Old UG E-Learning",'Pivot Table for Fact Book'!$A$3,"State","WV","Type2","Two-Year")</f>
        <v>104500</v>
      </c>
      <c r="AA41" s="265">
        <f>GETPIVOTDATA("Sum of New UG E-Learning",'Pivot Table for Fact Book'!$A$3,"State","WV","Type2","Two-Year")</f>
        <v>114898</v>
      </c>
      <c r="AB41" s="262">
        <f>+GETPIVOTDATA("Sum of Old UG E-Learning",'Pivot Table for Fact Book'!$A$3,"State","WV","type",12,"type2","Techncial")</f>
        <v>0</v>
      </c>
      <c r="AC41" s="263">
        <f>+GETPIVOTDATA("Sum of New UG E-Learning",'Pivot Table for Fact Book'!$A$3,"State","WV","type",12,"type2","Techncial")</f>
        <v>0</v>
      </c>
      <c r="AD41" s="263">
        <f>+GETPIVOTDATA("Sum of Old UG E-Learning",'Pivot Table for Fact Book'!$A$3,"State","WV","type",13,"type2","Techncial")</f>
        <v>0</v>
      </c>
      <c r="AE41" s="263">
        <f>+GETPIVOTDATA("Sum of New UG E-Learning",'Pivot Table for Fact Book'!$A$3,"State","WV","type",13,"type2","Techncial")</f>
        <v>0</v>
      </c>
      <c r="AF41" s="267">
        <f>+GETPIVOTDATA("Sum of Old UG E-Learning",'Pivot Table for Fact Book'!$A$3,"State","WV","type2","Techncial")</f>
        <v>0</v>
      </c>
      <c r="AG41" s="267">
        <f>+GETPIVOTDATA("Sum of New UG E-Learning",'Pivot Table for Fact Book'!$A$3,"State","WV","type2","Techncial")</f>
        <v>0</v>
      </c>
    </row>
    <row r="43" spans="1:33">
      <c r="A43" s="268" t="s">
        <v>842</v>
      </c>
    </row>
    <row r="44" spans="1:33">
      <c r="B44" s="270" t="s">
        <v>821</v>
      </c>
      <c r="C44" s="271"/>
      <c r="D44" s="271"/>
      <c r="E44" s="271"/>
      <c r="F44" s="271"/>
      <c r="G44" s="271"/>
      <c r="H44" s="271"/>
      <c r="I44" s="271"/>
      <c r="J44" s="271"/>
      <c r="K44" s="271"/>
      <c r="L44" s="271"/>
      <c r="M44" s="271"/>
      <c r="N44" s="271"/>
      <c r="O44" s="271"/>
      <c r="P44" s="271"/>
      <c r="Q44" s="271"/>
    </row>
    <row r="45" spans="1:33">
      <c r="B45" s="276">
        <v>1</v>
      </c>
      <c r="C45" s="277"/>
      <c r="D45" s="276">
        <v>2</v>
      </c>
      <c r="E45" s="277"/>
      <c r="F45" s="276">
        <v>3</v>
      </c>
      <c r="G45" s="277"/>
      <c r="H45" s="276">
        <v>4</v>
      </c>
      <c r="I45" s="277"/>
      <c r="J45" s="276">
        <v>5</v>
      </c>
      <c r="K45" s="277"/>
      <c r="L45" s="276">
        <v>6</v>
      </c>
      <c r="M45" s="277"/>
      <c r="N45" s="276">
        <v>15</v>
      </c>
      <c r="O45" s="277"/>
      <c r="P45" s="276" t="s">
        <v>824</v>
      </c>
      <c r="Q45" s="278"/>
    </row>
    <row r="46" spans="1:33" s="292" customFormat="1">
      <c r="A46" s="291"/>
      <c r="B46" s="284">
        <v>2014</v>
      </c>
      <c r="C46" s="285">
        <v>2015</v>
      </c>
      <c r="D46" s="284">
        <v>2014</v>
      </c>
      <c r="E46" s="285">
        <v>2015</v>
      </c>
      <c r="F46" s="284">
        <v>2014</v>
      </c>
      <c r="G46" s="285">
        <v>2015</v>
      </c>
      <c r="H46" s="284">
        <v>2014</v>
      </c>
      <c r="I46" s="285">
        <v>2015</v>
      </c>
      <c r="J46" s="284">
        <v>2014</v>
      </c>
      <c r="K46" s="285">
        <v>2015</v>
      </c>
      <c r="L46" s="284">
        <v>2014</v>
      </c>
      <c r="M46" s="285">
        <v>2015</v>
      </c>
      <c r="N46" s="284">
        <v>2014</v>
      </c>
      <c r="O46" s="285">
        <v>2015</v>
      </c>
      <c r="P46" s="284">
        <v>2014</v>
      </c>
      <c r="Q46" s="285">
        <v>2015</v>
      </c>
    </row>
    <row r="47" spans="1:33">
      <c r="A47" s="269" t="s">
        <v>825</v>
      </c>
      <c r="B47" s="256">
        <f>GETPIVOTDATA("Sum of Old-Tot G SCH Calc",'Pivot Table for Fact Book'!$A$3,"State","AL","type",1,"Type2","Four-Year")</f>
        <v>255705</v>
      </c>
      <c r="C47" s="257">
        <f>GETPIVOTDATA("Sum of New-Tot G SCH Calc",'Pivot Table for Fact Book'!$A$3,"State","AL","type",1,"Type2","Four-Year")</f>
        <v>263744</v>
      </c>
      <c r="D47" s="256">
        <f>GETPIVOTDATA("Sum of Old-Tot G SCH Calc",'Pivot Table for Fact Book'!$A$3,"State","AL","type",2,"Type2","Four-Year")</f>
        <v>49458</v>
      </c>
      <c r="E47" s="257">
        <f>GETPIVOTDATA("Sum of New-Tot G SCH Calc",'Pivot Table for Fact Book'!$A$3,"State","AL","type",2,"Type2","Four-Year")</f>
        <v>48047</v>
      </c>
      <c r="F47" s="256">
        <f>GETPIVOTDATA("Sum of Old-Tot G SCH Calc",'Pivot Table for Fact Book'!$A$3,"State","AL","type",3,"Type2","Four-Year")</f>
        <v>85528</v>
      </c>
      <c r="G47" s="257">
        <f>GETPIVOTDATA("Sum of New-Tot G SCH Calc",'Pivot Table for Fact Book'!$A$3,"State","AL","type",3,"Type2","Four-Year")</f>
        <v>89072</v>
      </c>
      <c r="H47" s="256">
        <f>GETPIVOTDATA("Sum of Old-Tot G SCH Calc",'Pivot Table for Fact Book'!$A$3,"State","AL","type",4,"Type2","Four-Year")</f>
        <v>23909</v>
      </c>
      <c r="I47" s="257">
        <f>GETPIVOTDATA("Sum of New-Tot G SCH Calc",'Pivot Table for Fact Book'!$A$3,"State","AL","type",4,"Type2","Four-Year")</f>
        <v>23018</v>
      </c>
      <c r="J47" s="256">
        <f>GETPIVOTDATA("Sum of Old-Tot G SCH Calc",'Pivot Table for Fact Book'!$A$3,"State","AL","type",5,"Type2","Four-Year")</f>
        <v>51593</v>
      </c>
      <c r="K47" s="257">
        <f>GETPIVOTDATA("Sum of New-Tot G SCH Calc",'Pivot Table for Fact Book'!$A$3,"State","AL","type",5,"Type2","Four-Year")</f>
        <v>60631</v>
      </c>
      <c r="L47" s="256">
        <f>GETPIVOTDATA("Sum of Old-Tot G SCH Calc",'Pivot Table for Fact Book'!$A$3,"State","AL","type",6,"Type2","Four-Year")</f>
        <v>1236</v>
      </c>
      <c r="M47" s="257">
        <f>GETPIVOTDATA("Sum of New-Tot G SCH Calc",'Pivot Table for Fact Book'!$A$3,"State","AL","type",6,"Type2","Four-Year")</f>
        <v>2376</v>
      </c>
      <c r="N47" s="256">
        <f>GETPIVOTDATA("Sum of Old-Tot G SCH Calc",'Pivot Table for Fact Book'!$A$3,"State","AL","type",15,"Type2","Four-Year")</f>
        <v>0</v>
      </c>
      <c r="O47" s="257">
        <f>GETPIVOTDATA("Sum of New-Tot G SCH Calc",'Pivot Table for Fact Book'!$A$3,"State","AL","type",15,"Type2","Four-Year")</f>
        <v>0</v>
      </c>
      <c r="P47" s="258">
        <f>GETPIVOTDATA("Sum of Old-Tot G SCH Calc",'Pivot Table for Fact Book'!$A$3,"State","AL","Type2","Four-Year")</f>
        <v>467429</v>
      </c>
      <c r="Q47" s="258">
        <f>GETPIVOTDATA("Sum of New-Tot G SCH Calc",'Pivot Table for Fact Book'!$A$3,"State","AL","Type2","Four-Year")</f>
        <v>486888</v>
      </c>
    </row>
    <row r="48" spans="1:33">
      <c r="A48" s="269" t="s">
        <v>826</v>
      </c>
      <c r="B48" s="256">
        <f>GETPIVOTDATA("Sum of Old-Tot G SCH Calc",'Pivot Table for Fact Book'!$A$3,"State","AR","type",1,"Type2","Four-Year")</f>
        <v>79947</v>
      </c>
      <c r="C48" s="257">
        <f>GETPIVOTDATA("Sum of New-Tot G SCH Calc",'Pivot Table for Fact Book'!$A$3,"State","AR","type",1,"Type2","Four-Year")</f>
        <v>79091</v>
      </c>
      <c r="D48" s="256">
        <f>GETPIVOTDATA("Sum of Old-Tot G SCH Calc",'Pivot Table for Fact Book'!$A$3,"State","AR","type",2,"Type2","Four-Year")</f>
        <v>42251</v>
      </c>
      <c r="E48" s="257">
        <f>GETPIVOTDATA("Sum of New-Tot G SCH Calc",'Pivot Table for Fact Book'!$A$3,"State","AR","type",2,"Type2","Four-Year")</f>
        <v>42678</v>
      </c>
      <c r="F48" s="256">
        <f>GETPIVOTDATA("Sum of Old-Tot G SCH Calc",'Pivot Table for Fact Book'!$A$3,"State","AR","type",3,"Type2","Four-Year")</f>
        <v>148729</v>
      </c>
      <c r="G48" s="257">
        <f>GETPIVOTDATA("Sum of New-Tot G SCH Calc",'Pivot Table for Fact Book'!$A$3,"State","AR","type",3,"Type2","Four-Year")</f>
        <v>152320</v>
      </c>
      <c r="H48" s="256">
        <f>GETPIVOTDATA("Sum of Old-Tot G SCH Calc",'Pivot Table for Fact Book'!$A$3,"State","AR","type",4,"Type2","Four-Year")</f>
        <v>30021</v>
      </c>
      <c r="I48" s="257">
        <f>GETPIVOTDATA("Sum of New-Tot G SCH Calc",'Pivot Table for Fact Book'!$A$3,"State","AR","type",4,"Type2","Four-Year")</f>
        <v>25495</v>
      </c>
      <c r="J48" s="256">
        <f>GETPIVOTDATA("Sum of Old-Tot G SCH Calc",'Pivot Table for Fact Book'!$A$3,"State","AR","type",5,"Type2","Four-Year")</f>
        <v>5793</v>
      </c>
      <c r="K48" s="257">
        <f>GETPIVOTDATA("Sum of New-Tot G SCH Calc",'Pivot Table for Fact Book'!$A$3,"State","AR","type",5,"Type2","Four-Year")</f>
        <v>5987</v>
      </c>
      <c r="L48" s="256">
        <f>GETPIVOTDATA("Sum of Old-Tot G SCH Calc",'Pivot Table for Fact Book'!$A$3,"State","AR","type",6,"Type2","Four-Year")</f>
        <v>1658</v>
      </c>
      <c r="M48" s="257">
        <f>GETPIVOTDATA("Sum of New-Tot G SCH Calc",'Pivot Table for Fact Book'!$A$3,"State","AR","type",6,"Type2","Four-Year")</f>
        <v>1724</v>
      </c>
      <c r="N48" s="256">
        <f>GETPIVOTDATA("Sum of Old-Tot G SCH Calc",'Pivot Table for Fact Book'!$A$3,"State","AR","type",15,"Type2","Four-Year")</f>
        <v>0</v>
      </c>
      <c r="O48" s="257">
        <f>GETPIVOTDATA("Sum of New-Tot G SCH Calc",'Pivot Table for Fact Book'!$A$3,"State","AR","type",15,"Type2","Four-Year")</f>
        <v>0</v>
      </c>
      <c r="P48" s="258">
        <f>GETPIVOTDATA("Sum of Old-Tot G SCH Calc",'Pivot Table for Fact Book'!$A$3,"State","AR","Type2","Four-Year")</f>
        <v>308399</v>
      </c>
      <c r="Q48" s="258">
        <f>GETPIVOTDATA("Sum of New-Tot G SCH Calc",'Pivot Table for Fact Book'!$A$3,"State","AR","Type2","Four-Year")</f>
        <v>307295</v>
      </c>
    </row>
    <row r="49" spans="1:17">
      <c r="A49" s="269" t="s">
        <v>827</v>
      </c>
      <c r="B49" s="256">
        <f>GETPIVOTDATA("Sum of Old-Tot G SCH Calc",'Pivot Table for Fact Book'!$A$3,"State","DE","type",1,"Type2","Four-Year")</f>
        <v>64419</v>
      </c>
      <c r="C49" s="257">
        <f>GETPIVOTDATA("Sum of New-Tot G SCH Calc",'Pivot Table for Fact Book'!$A$3,"State","DE","type",1,"Type2","Four-Year")</f>
        <v>73413</v>
      </c>
      <c r="D49" s="256">
        <f>GETPIVOTDATA("Sum of Old-Tot G SCH Calc",'Pivot Table for Fact Book'!$A$3,"State","DE","type",2,"Type2","Four-Year")</f>
        <v>0</v>
      </c>
      <c r="E49" s="257">
        <f>GETPIVOTDATA("Sum of New-Tot G SCH Calc",'Pivot Table for Fact Book'!$A$3,"State","DE","type",2,"Type2","Four-Year")</f>
        <v>0</v>
      </c>
      <c r="F49" s="256">
        <f>GETPIVOTDATA("Sum of Old-Tot G SCH Calc",'Pivot Table for Fact Book'!$A$3,"State","DE","type",3,"Type2","Four-Year")</f>
        <v>5600</v>
      </c>
      <c r="G49" s="257">
        <f>GETPIVOTDATA("Sum of New-Tot G SCH Calc",'Pivot Table for Fact Book'!$A$3,"State","DE","type",3,"Type2","Four-Year")</f>
        <v>7965</v>
      </c>
      <c r="H49" s="256">
        <f>GETPIVOTDATA("Sum of Old-Tot G SCH Calc",'Pivot Table for Fact Book'!$A$3,"State","DE","type",4,"Type2","Four-Year")</f>
        <v>0</v>
      </c>
      <c r="I49" s="257">
        <f>GETPIVOTDATA("Sum of New-Tot G SCH Calc",'Pivot Table for Fact Book'!$A$3,"State","DE","type",4,"Type2","Four-Year")</f>
        <v>0</v>
      </c>
      <c r="J49" s="256">
        <f>GETPIVOTDATA("Sum of Old-Tot G SCH Calc",'Pivot Table for Fact Book'!$A$3,"State","DE","type",5,"Type2","Four-Year")</f>
        <v>0</v>
      </c>
      <c r="K49" s="257">
        <f>GETPIVOTDATA("Sum of New-Tot G SCH Calc",'Pivot Table for Fact Book'!$A$3,"State","DE","type",5,"Type2","Four-Year")</f>
        <v>0</v>
      </c>
      <c r="L49" s="256">
        <f>GETPIVOTDATA("Sum of Old-Tot G SCH Calc",'Pivot Table for Fact Book'!$A$3,"State","DE","type",6,"Type2","Four-Year")</f>
        <v>0</v>
      </c>
      <c r="M49" s="257">
        <f>GETPIVOTDATA("Sum of New-Tot G SCH Calc",'Pivot Table for Fact Book'!$A$3,"State","DE","type",6,"Type2","Four-Year")</f>
        <v>0</v>
      </c>
      <c r="N49" s="256">
        <f>GETPIVOTDATA("Sum of Old-Tot G SCH Calc",'Pivot Table for Fact Book'!$A$3,"State","DE","type",15,"Type2","Four-Year")</f>
        <v>0</v>
      </c>
      <c r="O49" s="257">
        <f>GETPIVOTDATA("Sum of New-Tot G SCH Calc",'Pivot Table for Fact Book'!$A$3,"State","DE","type",15,"Type2","Four-Year")</f>
        <v>0</v>
      </c>
      <c r="P49" s="258">
        <f>GETPIVOTDATA("Sum of Old-Tot G SCH Calc",'Pivot Table for Fact Book'!$A$3,"State","DE","Type2","Four-Year")</f>
        <v>70019</v>
      </c>
      <c r="Q49" s="258">
        <f>GETPIVOTDATA("Sum of New-Tot G SCH Calc",'Pivot Table for Fact Book'!$A$3,"State","DE","Type2","Four-Year")</f>
        <v>81378</v>
      </c>
    </row>
    <row r="50" spans="1:17">
      <c r="A50" s="269" t="s">
        <v>828</v>
      </c>
      <c r="B50" s="256">
        <f>GETPIVOTDATA("Sum of Old-Tot G SCH Calc",'Pivot Table for Fact Book'!$A$3,"State","FL","type",1,"Type2","Four-Year")</f>
        <v>0</v>
      </c>
      <c r="C50" s="257">
        <f>GETPIVOTDATA("Sum of New-Tot G SCH Calc",'Pivot Table for Fact Book'!$A$3,"State","FL","type",1,"Type2","Four-Year")</f>
        <v>0</v>
      </c>
      <c r="D50" s="256">
        <f>GETPIVOTDATA("Sum of Old-Tot G SCH Calc",'Pivot Table for Fact Book'!$A$3,"State","FL","type",2,"Type2","Four-Year")</f>
        <v>0</v>
      </c>
      <c r="E50" s="257">
        <f>GETPIVOTDATA("Sum of New-Tot G SCH Calc",'Pivot Table for Fact Book'!$A$3,"State","FL","type",2,"Type2","Four-Year")</f>
        <v>0</v>
      </c>
      <c r="F50" s="256">
        <f>GETPIVOTDATA("Sum of Old-Tot G SCH Calc",'Pivot Table for Fact Book'!$A$3,"State","FL","type",3,"Type2","Four-Year")</f>
        <v>0</v>
      </c>
      <c r="G50" s="257">
        <f>GETPIVOTDATA("Sum of New-Tot G SCH Calc",'Pivot Table for Fact Book'!$A$3,"State","FL","type",3,"Type2","Four-Year")</f>
        <v>0</v>
      </c>
      <c r="H50" s="256">
        <f>GETPIVOTDATA("Sum of Old-Tot G SCH Calc",'Pivot Table for Fact Book'!$A$3,"State","FL","type",4,"Type2","Four-Year")</f>
        <v>0</v>
      </c>
      <c r="I50" s="257">
        <f>GETPIVOTDATA("Sum of New-Tot G SCH Calc",'Pivot Table for Fact Book'!$A$3,"State","FL","type",4,"Type2","Four-Year")</f>
        <v>0</v>
      </c>
      <c r="J50" s="256">
        <f>GETPIVOTDATA("Sum of Old-Tot G SCH Calc",'Pivot Table for Fact Book'!$A$3,"State","FL","type",5,"Type2","Four-Year")</f>
        <v>0</v>
      </c>
      <c r="K50" s="257">
        <f>GETPIVOTDATA("Sum of New-Tot G SCH Calc",'Pivot Table for Fact Book'!$A$3,"State","FL","type",5,"Type2","Four-Year")</f>
        <v>0</v>
      </c>
      <c r="L50" s="256">
        <f>GETPIVOTDATA("Sum of Old-Tot G SCH Calc",'Pivot Table for Fact Book'!$A$3,"State","FL","type",6,"Type2","Four-Year")</f>
        <v>0</v>
      </c>
      <c r="M50" s="257">
        <f>GETPIVOTDATA("Sum of New-Tot G SCH Calc",'Pivot Table for Fact Book'!$A$3,"State","FL","type",6,"Type2","Four-Year")</f>
        <v>0</v>
      </c>
      <c r="N50" s="256">
        <f>GETPIVOTDATA("Sum of Old-Tot G SCH Calc",'Pivot Table for Fact Book'!$A$3,"State","FL","type",15,"Type2","Four-Year")</f>
        <v>0</v>
      </c>
      <c r="O50" s="257">
        <f>GETPIVOTDATA("Sum of New-Tot G SCH Calc",'Pivot Table for Fact Book'!$A$3,"State","FL","type",15,"Type2","Four-Year")</f>
        <v>0</v>
      </c>
      <c r="P50" s="258">
        <f>GETPIVOTDATA("Sum of Old-Tot G SCH Calc",'Pivot Table for Fact Book'!$A$3,"State","FL","Type2","Four-Year")</f>
        <v>0</v>
      </c>
      <c r="Q50" s="258">
        <f>GETPIVOTDATA("Sum of New-Tot G SCH Calc",'Pivot Table for Fact Book'!$A$3,"State","FL","Type2","Four-Year")</f>
        <v>0</v>
      </c>
    </row>
    <row r="51" spans="1:17">
      <c r="A51" s="269" t="s">
        <v>829</v>
      </c>
      <c r="B51" s="256">
        <f>GETPIVOTDATA("Sum of Old-Tot G SCH Calc",'Pivot Table for Fact Book'!$A$3,"State","GA","type",1,"Type2","Four-Year")</f>
        <v>494972.95</v>
      </c>
      <c r="C51" s="257">
        <f>GETPIVOTDATA("Sum of New-Tot G SCH Calc",'Pivot Table for Fact Book'!$A$3,"State","GA","type",1,"Type2","Four-Year")</f>
        <v>497854.9</v>
      </c>
      <c r="D51" s="256">
        <f>GETPIVOTDATA("Sum of Old-Tot G SCH Calc",'Pivot Table for Fact Book'!$A$3,"State","GA","type",2,"Type2","Four-Year")</f>
        <v>305290.5</v>
      </c>
      <c r="E51" s="257">
        <f>GETPIVOTDATA("Sum of New-Tot G SCH Calc",'Pivot Table for Fact Book'!$A$3,"State","GA","type",2,"Type2","Four-Year")</f>
        <v>332827.5</v>
      </c>
      <c r="F51" s="256">
        <f>GETPIVOTDATA("Sum of Old-Tot G SCH Calc",'Pivot Table for Fact Book'!$A$3,"State","GA","type",3,"Type2","Four-Year")</f>
        <v>184019</v>
      </c>
      <c r="G51" s="257">
        <f>GETPIVOTDATA("Sum of New-Tot G SCH Calc",'Pivot Table for Fact Book'!$A$3,"State","GA","type",3,"Type2","Four-Year")</f>
        <v>203821</v>
      </c>
      <c r="H51" s="256">
        <f>GETPIVOTDATA("Sum of Old-Tot G SCH Calc",'Pivot Table for Fact Book'!$A$3,"State","GA","type",4,"Type2","Four-Year")</f>
        <v>300481</v>
      </c>
      <c r="I51" s="257">
        <f>GETPIVOTDATA("Sum of New-Tot G SCH Calc",'Pivot Table for Fact Book'!$A$3,"State","GA","type",4,"Type2","Four-Year")</f>
        <v>289588.5</v>
      </c>
      <c r="J51" s="256">
        <f>GETPIVOTDATA("Sum of Old-Tot G SCH Calc",'Pivot Table for Fact Book'!$A$3,"State","GA","type",5,"Type2","Four-Year")</f>
        <v>4030</v>
      </c>
      <c r="K51" s="257">
        <f>GETPIVOTDATA("Sum of New-Tot G SCH Calc",'Pivot Table for Fact Book'!$A$3,"State","GA","type",5,"Type2","Four-Year")</f>
        <v>3734</v>
      </c>
      <c r="L51" s="256">
        <f>GETPIVOTDATA("Sum of Old-Tot G SCH Calc",'Pivot Table for Fact Book'!$A$3,"State","GA","type",6,"Type2","Four-Year")</f>
        <v>1871</v>
      </c>
      <c r="M51" s="257">
        <f>GETPIVOTDATA("Sum of New-Tot G SCH Calc",'Pivot Table for Fact Book'!$A$3,"State","GA","type",6,"Type2","Four-Year")</f>
        <v>3639</v>
      </c>
      <c r="N51" s="256">
        <f>GETPIVOTDATA("Sum of Old-Tot G SCH Calc",'Pivot Table for Fact Book'!$A$3,"State","GA","type",15,"Type2","Four-Year")</f>
        <v>0</v>
      </c>
      <c r="O51" s="257">
        <f>GETPIVOTDATA("Sum of New-Tot G SCH Calc",'Pivot Table for Fact Book'!$A$3,"State","GA","type",15,"Type2","Four-Year")</f>
        <v>0</v>
      </c>
      <c r="P51" s="258">
        <f>GETPIVOTDATA("Sum of Old-Tot G SCH Calc",'Pivot Table for Fact Book'!$A$3,"State","GA","Type2","Four-Year")</f>
        <v>1290664.45</v>
      </c>
      <c r="Q51" s="258">
        <f>GETPIVOTDATA("Sum of New-Tot G SCH Calc",'Pivot Table for Fact Book'!$A$3,"State","GA","Type2","Four-Year")</f>
        <v>1331464.8999999999</v>
      </c>
    </row>
    <row r="52" spans="1:17">
      <c r="A52" s="269" t="s">
        <v>830</v>
      </c>
      <c r="B52" s="256">
        <f>GETPIVOTDATA("Sum of Old-Tot G SCH Calc",'Pivot Table for Fact Book'!$A$3,"State","KY","type",1,"Type2","Four-Year")</f>
        <v>161220</v>
      </c>
      <c r="C52" s="257">
        <f>GETPIVOTDATA("Sum of New-Tot G SCH Calc",'Pivot Table for Fact Book'!$A$3,"State","KY","type",1,"Type2","Four-Year")</f>
        <v>164016</v>
      </c>
      <c r="D52" s="256">
        <f>GETPIVOTDATA("Sum of Old-Tot G SCH Calc",'Pivot Table for Fact Book'!$A$3,"State","KY","type",2,"Type2","Four-Year")</f>
        <v>0</v>
      </c>
      <c r="E52" s="257">
        <f>GETPIVOTDATA("Sum of New-Tot G SCH Calc",'Pivot Table for Fact Book'!$A$3,"State","KY","type",2,"Type2","Four-Year")</f>
        <v>0</v>
      </c>
      <c r="F52" s="256">
        <f>GETPIVOTDATA("Sum of Old-Tot G SCH Calc",'Pivot Table for Fact Book'!$A$3,"State","KY","type",3,"Type2","Four-Year")</f>
        <v>155801</v>
      </c>
      <c r="G52" s="257">
        <f>GETPIVOTDATA("Sum of New-Tot G SCH Calc",'Pivot Table for Fact Book'!$A$3,"State","KY","type",3,"Type2","Four-Year")</f>
        <v>154624</v>
      </c>
      <c r="H52" s="256">
        <f>GETPIVOTDATA("Sum of Old-Tot G SCH Calc",'Pivot Table for Fact Book'!$A$3,"State","KY","type",4,"Type2","Four-Year")</f>
        <v>2422</v>
      </c>
      <c r="I52" s="257">
        <f>GETPIVOTDATA("Sum of New-Tot G SCH Calc",'Pivot Table for Fact Book'!$A$3,"State","KY","type",4,"Type2","Four-Year")</f>
        <v>1885</v>
      </c>
      <c r="J52" s="256">
        <f>GETPIVOTDATA("Sum of Old-Tot G SCH Calc",'Pivot Table for Fact Book'!$A$3,"State","KY","type",5,"Type2","Four-Year")</f>
        <v>0</v>
      </c>
      <c r="K52" s="257">
        <f>GETPIVOTDATA("Sum of New-Tot G SCH Calc",'Pivot Table for Fact Book'!$A$3,"State","KY","type",5,"Type2","Four-Year")</f>
        <v>0</v>
      </c>
      <c r="L52" s="256">
        <f>GETPIVOTDATA("Sum of Old-Tot G SCH Calc",'Pivot Table for Fact Book'!$A$3,"State","KY","type",6,"Type2","Four-Year")</f>
        <v>0</v>
      </c>
      <c r="M52" s="257">
        <f>GETPIVOTDATA("Sum of New-Tot G SCH Calc",'Pivot Table for Fact Book'!$A$3,"State","KY","type",6,"Type2","Four-Year")</f>
        <v>0</v>
      </c>
      <c r="N52" s="256">
        <f>GETPIVOTDATA("Sum of Old-Tot G SCH Calc",'Pivot Table for Fact Book'!$A$3,"State","KY","type",15,"Type2","Four-Year")</f>
        <v>0</v>
      </c>
      <c r="O52" s="257">
        <f>GETPIVOTDATA("Sum of New-Tot G SCH Calc",'Pivot Table for Fact Book'!$A$3,"State","KY","type",15,"Type2","Four-Year")</f>
        <v>0</v>
      </c>
      <c r="P52" s="258">
        <f>GETPIVOTDATA("Sum of Old-Tot G SCH Calc",'Pivot Table for Fact Book'!$A$3,"State","KY","Type2","Four-Year")</f>
        <v>319443</v>
      </c>
      <c r="Q52" s="258">
        <f>GETPIVOTDATA("Sum of New-Tot G SCH Calc",'Pivot Table for Fact Book'!$A$3,"State","KY","Type2","Four-Year")</f>
        <v>320525</v>
      </c>
    </row>
    <row r="53" spans="1:17">
      <c r="A53" s="269" t="s">
        <v>831</v>
      </c>
      <c r="B53" s="256">
        <f>GETPIVOTDATA("Sum of Old-Tot G SCH Calc",'Pivot Table for Fact Book'!$A$3,"State","LA","type",1,"Type2","Four-Year")</f>
        <v>133260.99999999953</v>
      </c>
      <c r="C53" s="257">
        <f>GETPIVOTDATA("Sum of New-Tot G SCH Calc",'Pivot Table for Fact Book'!$A$3,"State","LA","type",1,"Type2","Four-Year")</f>
        <v>137669.49999999959</v>
      </c>
      <c r="D53" s="256">
        <f>GETPIVOTDATA("Sum of Old-Tot G SCH Calc",'Pivot Table for Fact Book'!$A$3,"State","LA","type",2,"Type2","Four-Year")</f>
        <v>74535.999999999927</v>
      </c>
      <c r="E53" s="257">
        <f>GETPIVOTDATA("Sum of New-Tot G SCH Calc",'Pivot Table for Fact Book'!$A$3,"State","LA","type",2,"Type2","Four-Year")</f>
        <v>78522.999999999927</v>
      </c>
      <c r="F53" s="256">
        <f>GETPIVOTDATA("Sum of Old-Tot G SCH Calc",'Pivot Table for Fact Book'!$A$3,"State","LA","type",3,"Type2","Four-Year")</f>
        <v>78509.000000000058</v>
      </c>
      <c r="G53" s="257">
        <f>GETPIVOTDATA("Sum of New-Tot G SCH Calc",'Pivot Table for Fact Book'!$A$3,"State","LA","type",3,"Type2","Four-Year")</f>
        <v>76911.999999999985</v>
      </c>
      <c r="H53" s="256">
        <f>GETPIVOTDATA("Sum of Old-Tot G SCH Calc",'Pivot Table for Fact Book'!$A$3,"State","LA","type",4,"Type2","Four-Year")</f>
        <v>92798.000000000058</v>
      </c>
      <c r="I53" s="257">
        <f>GETPIVOTDATA("Sum of New-Tot G SCH Calc",'Pivot Table for Fact Book'!$A$3,"State","LA","type",4,"Type2","Four-Year")</f>
        <v>114669.99999999997</v>
      </c>
      <c r="J53" s="256">
        <f>GETPIVOTDATA("Sum of Old-Tot G SCH Calc",'Pivot Table for Fact Book'!$A$3,"State","LA","type",5,"Type2","Four-Year")</f>
        <v>9558</v>
      </c>
      <c r="K53" s="257">
        <f>GETPIVOTDATA("Sum of New-Tot G SCH Calc",'Pivot Table for Fact Book'!$A$3,"State","LA","type",5,"Type2","Four-Year")</f>
        <v>9486</v>
      </c>
      <c r="L53" s="256">
        <f>GETPIVOTDATA("Sum of Old-Tot G SCH Calc",'Pivot Table for Fact Book'!$A$3,"State","LA","type",6,"Type2","Four-Year")</f>
        <v>0</v>
      </c>
      <c r="M53" s="257">
        <f>GETPIVOTDATA("Sum of New-Tot G SCH Calc",'Pivot Table for Fact Book'!$A$3,"State","LA","type",6,"Type2","Four-Year")</f>
        <v>0</v>
      </c>
      <c r="N53" s="256">
        <f>GETPIVOTDATA("Sum of Old-Tot G SCH Calc",'Pivot Table for Fact Book'!$A$3,"State","LA","type",15,"Type2","Four-Year")</f>
        <v>0</v>
      </c>
      <c r="O53" s="257">
        <f>GETPIVOTDATA("Sum of New-Tot G SCH Calc",'Pivot Table for Fact Book'!$A$3,"State","LA","type",15,"Type2","Four-Year")</f>
        <v>0</v>
      </c>
      <c r="P53" s="258">
        <f>GETPIVOTDATA("Sum of Old-Tot G SCH Calc",'Pivot Table for Fact Book'!$A$3,"State","LA","Type2","Four-Year")</f>
        <v>388661.99999999959</v>
      </c>
      <c r="Q53" s="258">
        <f>GETPIVOTDATA("Sum of New-Tot G SCH Calc",'Pivot Table for Fact Book'!$A$3,"State","LA","Type2","Four-Year")</f>
        <v>417260.49999999953</v>
      </c>
    </row>
    <row r="54" spans="1:17">
      <c r="A54" s="269" t="s">
        <v>832</v>
      </c>
      <c r="B54" s="256">
        <f>GETPIVOTDATA("Sum of Old-Tot G SCH Calc",'Pivot Table for Fact Book'!$A$3,"State","MD","type",1,"Type2","Four-Year")</f>
        <v>158715.5</v>
      </c>
      <c r="C54" s="257">
        <f>GETPIVOTDATA("Sum of New-Tot G SCH Calc",'Pivot Table for Fact Book'!$A$3,"State","MD","type",1,"Type2","Four-Year")</f>
        <v>159015</v>
      </c>
      <c r="D54" s="256">
        <f>GETPIVOTDATA("Sum of Old-Tot G SCH Calc",'Pivot Table for Fact Book'!$A$3,"State","MD","type",2,"Type2","Four-Year")</f>
        <v>57603</v>
      </c>
      <c r="E54" s="257">
        <f>GETPIVOTDATA("Sum of New-Tot G SCH Calc",'Pivot Table for Fact Book'!$A$3,"State","MD","type",2,"Type2","Four-Year")</f>
        <v>58309</v>
      </c>
      <c r="F54" s="256">
        <f>GETPIVOTDATA("Sum of Old-Tot G SCH Calc",'Pivot Table for Fact Book'!$A$3,"State","MD","type",3,"Type2","Four-Year")</f>
        <v>88559</v>
      </c>
      <c r="G54" s="257">
        <f>GETPIVOTDATA("Sum of New-Tot G SCH Calc",'Pivot Table for Fact Book'!$A$3,"State","MD","type",3,"Type2","Four-Year")</f>
        <v>60241</v>
      </c>
      <c r="H54" s="256">
        <f>GETPIVOTDATA("Sum of Old-Tot G SCH Calc",'Pivot Table for Fact Book'!$A$3,"State","MD","type",4,"Type2","Four-Year")</f>
        <v>60330</v>
      </c>
      <c r="I54" s="257">
        <f>GETPIVOTDATA("Sum of New-Tot G SCH Calc",'Pivot Table for Fact Book'!$A$3,"State","MD","type",4,"Type2","Four-Year")</f>
        <v>84494.5</v>
      </c>
      <c r="J54" s="256">
        <f>GETPIVOTDATA("Sum of Old-Tot G SCH Calc",'Pivot Table for Fact Book'!$A$3,"State","MD","type",5,"Type2","Four-Year")</f>
        <v>5008</v>
      </c>
      <c r="K54" s="257">
        <f>GETPIVOTDATA("Sum of New-Tot G SCH Calc",'Pivot Table for Fact Book'!$A$3,"State","MD","type",5,"Type2","Four-Year")</f>
        <v>5201</v>
      </c>
      <c r="L54" s="256">
        <f>GETPIVOTDATA("Sum of Old-Tot G SCH Calc",'Pivot Table for Fact Book'!$A$3,"State","MD","type",6,"Type2","Four-Year")</f>
        <v>1409</v>
      </c>
      <c r="M54" s="257">
        <f>GETPIVOTDATA("Sum of New-Tot G SCH Calc",'Pivot Table for Fact Book'!$A$3,"State","MD","type",6,"Type2","Four-Year")</f>
        <v>1333</v>
      </c>
      <c r="N54" s="256">
        <f>GETPIVOTDATA("Sum of Old-Tot G SCH Calc",'Pivot Table for Fact Book'!$A$3,"State","MD","type",15,"Type2","Four-Year")</f>
        <v>255175</v>
      </c>
      <c r="O54" s="257">
        <f>GETPIVOTDATA("Sum of New-Tot G SCH Calc",'Pivot Table for Fact Book'!$A$3,"State","MD","type",15,"Type2","Four-Year")</f>
        <v>261591</v>
      </c>
      <c r="P54" s="258">
        <f>GETPIVOTDATA("Sum of Old-Tot G SCH Calc",'Pivot Table for Fact Book'!$A$3,"State","MD","Type2","Four-Year")</f>
        <v>626799.5</v>
      </c>
      <c r="Q54" s="258">
        <f>GETPIVOTDATA("Sum of New-Tot G SCH Calc",'Pivot Table for Fact Book'!$A$3,"State","MD","Type2","Four-Year")</f>
        <v>630184.5</v>
      </c>
    </row>
    <row r="55" spans="1:17">
      <c r="A55" s="269" t="s">
        <v>833</v>
      </c>
      <c r="B55" s="256">
        <f>GETPIVOTDATA("Sum of Old-Tot G SCH Calc",'Pivot Table for Fact Book'!$A$3,"State","MS","type",1,"Type2","Four-Year")</f>
        <v>173346</v>
      </c>
      <c r="C55" s="257">
        <f>GETPIVOTDATA("Sum of New-Tot G SCH Calc",'Pivot Table for Fact Book'!$A$3,"State","MS","type",1,"Type2","Four-Year")</f>
        <v>173789</v>
      </c>
      <c r="D55" s="256">
        <f>GETPIVOTDATA("Sum of Old-Tot G SCH Calc",'Pivot Table for Fact Book'!$A$3,"State","MS","type",2,"Type2","Four-Year")</f>
        <v>31757</v>
      </c>
      <c r="E55" s="257">
        <f>GETPIVOTDATA("Sum of New-Tot G SCH Calc",'Pivot Table for Fact Book'!$A$3,"State","MS","type",2,"Type2","Four-Year")</f>
        <v>29347</v>
      </c>
      <c r="F55" s="256">
        <f>GETPIVOTDATA("Sum of Old-Tot G SCH Calc",'Pivot Table for Fact Book'!$A$3,"State","MS","type",3,"Type2","Four-Year")</f>
        <v>0</v>
      </c>
      <c r="G55" s="257">
        <f>GETPIVOTDATA("Sum of New-Tot G SCH Calc",'Pivot Table for Fact Book'!$A$3,"State","MS","type",3,"Type2","Four-Year")</f>
        <v>0</v>
      </c>
      <c r="H55" s="256">
        <f>GETPIVOTDATA("Sum of Old-Tot G SCH Calc",'Pivot Table for Fact Book'!$A$3,"State","MS","type",4,"Type2","Four-Year")</f>
        <v>38852</v>
      </c>
      <c r="I55" s="257">
        <f>GETPIVOTDATA("Sum of New-Tot G SCH Calc",'Pivot Table for Fact Book'!$A$3,"State","MS","type",4,"Type2","Four-Year")</f>
        <v>35554</v>
      </c>
      <c r="J55" s="256">
        <f>GETPIVOTDATA("Sum of Old-Tot G SCH Calc",'Pivot Table for Fact Book'!$A$3,"State","MS","type",5,"Type2","Four-Year")</f>
        <v>4648</v>
      </c>
      <c r="K55" s="257">
        <f>GETPIVOTDATA("Sum of New-Tot G SCH Calc",'Pivot Table for Fact Book'!$A$3,"State","MS","type",5,"Type2","Four-Year")</f>
        <v>4376</v>
      </c>
      <c r="L55" s="256">
        <f>GETPIVOTDATA("Sum of Old-Tot G SCH Calc",'Pivot Table for Fact Book'!$A$3,"State","MS","type",6,"Type2","Four-Year")</f>
        <v>0</v>
      </c>
      <c r="M55" s="257">
        <f>GETPIVOTDATA("Sum of New-Tot G SCH Calc",'Pivot Table for Fact Book'!$A$3,"State","MS","type",6,"Type2","Four-Year")</f>
        <v>0</v>
      </c>
      <c r="N55" s="256">
        <f>GETPIVOTDATA("Sum of Old-Tot G SCH Calc",'Pivot Table for Fact Book'!$A$3,"State","MS","type",15,"Type2","Four-Year")</f>
        <v>0</v>
      </c>
      <c r="O55" s="257">
        <f>GETPIVOTDATA("Sum of New-Tot G SCH Calc",'Pivot Table for Fact Book'!$A$3,"State","MS","type",15,"Type2","Four-Year")</f>
        <v>0</v>
      </c>
      <c r="P55" s="258">
        <f>GETPIVOTDATA("Sum of Old-Tot G SCH Calc",'Pivot Table for Fact Book'!$A$3,"State","MS","Type2","Four-Year")</f>
        <v>248603</v>
      </c>
      <c r="Q55" s="258">
        <f>GETPIVOTDATA("Sum of New-Tot G SCH Calc",'Pivot Table for Fact Book'!$A$3,"State","MS","Type2","Four-Year")</f>
        <v>243066</v>
      </c>
    </row>
    <row r="56" spans="1:17">
      <c r="A56" s="269" t="s">
        <v>834</v>
      </c>
      <c r="B56" s="256">
        <f>GETPIVOTDATA("Sum of Old-Tot G SCH Calc",'Pivot Table for Fact Book'!$A$3,"State","NC","type",1,"Type2","Four-Year")</f>
        <v>482925</v>
      </c>
      <c r="C56" s="257">
        <f>GETPIVOTDATA("Sum of New-Tot G SCH Calc",'Pivot Table for Fact Book'!$A$3,"State","NC","type",1,"Type2","Four-Year")</f>
        <v>524063</v>
      </c>
      <c r="D56" s="256">
        <f>GETPIVOTDATA("Sum of Old-Tot G SCH Calc",'Pivot Table for Fact Book'!$A$3,"State","NC","type",2,"Type2","Four-Year")</f>
        <v>83269</v>
      </c>
      <c r="E56" s="257">
        <f>GETPIVOTDATA("Sum of New-Tot G SCH Calc",'Pivot Table for Fact Book'!$A$3,"State","NC","type",2,"Type2","Four-Year")</f>
        <v>90063</v>
      </c>
      <c r="F56" s="256">
        <f>GETPIVOTDATA("Sum of Old-Tot G SCH Calc",'Pivot Table for Fact Book'!$A$3,"State","NC","type",3,"Type2","Four-Year")</f>
        <v>160267</v>
      </c>
      <c r="G56" s="257">
        <f>GETPIVOTDATA("Sum of New-Tot G SCH Calc",'Pivot Table for Fact Book'!$A$3,"State","NC","type",3,"Type2","Four-Year")</f>
        <v>163582</v>
      </c>
      <c r="H56" s="256">
        <f>GETPIVOTDATA("Sum of Old-Tot G SCH Calc",'Pivot Table for Fact Book'!$A$3,"State","NC","type",4,"Type2","Four-Year")</f>
        <v>15133</v>
      </c>
      <c r="I56" s="257">
        <f>GETPIVOTDATA("Sum of New-Tot G SCH Calc",'Pivot Table for Fact Book'!$A$3,"State","NC","type",4,"Type2","Four-Year")</f>
        <v>14498</v>
      </c>
      <c r="J56" s="256">
        <f>GETPIVOTDATA("Sum of Old-Tot G SCH Calc",'Pivot Table for Fact Book'!$A$3,"State","NC","type",5,"Type2","Four-Year")</f>
        <v>22509</v>
      </c>
      <c r="K56" s="257">
        <f>GETPIVOTDATA("Sum of New-Tot G SCH Calc",'Pivot Table for Fact Book'!$A$3,"State","NC","type",5,"Type2","Four-Year")</f>
        <v>26779</v>
      </c>
      <c r="L56" s="256">
        <f>GETPIVOTDATA("Sum of Old-Tot G SCH Calc",'Pivot Table for Fact Book'!$A$3,"State","NC","type",6,"Type2","Four-Year")</f>
        <v>1021</v>
      </c>
      <c r="M56" s="257">
        <f>GETPIVOTDATA("Sum of New-Tot G SCH Calc",'Pivot Table for Fact Book'!$A$3,"State","NC","type",6,"Type2","Four-Year")</f>
        <v>882</v>
      </c>
      <c r="N56" s="256">
        <f>GETPIVOTDATA("Sum of Old-Tot G SCH Calc",'Pivot Table for Fact Book'!$A$3,"State","NC","type",15,"Type2","Four-Year")</f>
        <v>0</v>
      </c>
      <c r="O56" s="257">
        <f>GETPIVOTDATA("Sum of New-Tot G SCH Calc",'Pivot Table for Fact Book'!$A$3,"State","NC","type",15,"Type2","Four-Year")</f>
        <v>0</v>
      </c>
      <c r="P56" s="258">
        <f>GETPIVOTDATA("Sum of Old-Tot G SCH Calc",'Pivot Table for Fact Book'!$A$3,"State","NC","Type2","Four-Year")</f>
        <v>765124</v>
      </c>
      <c r="Q56" s="258">
        <f>GETPIVOTDATA("Sum of New-Tot G SCH Calc",'Pivot Table for Fact Book'!$A$3,"State","NC","Type2","Four-Year")</f>
        <v>819867</v>
      </c>
    </row>
    <row r="57" spans="1:17">
      <c r="A57" s="269" t="s">
        <v>835</v>
      </c>
      <c r="B57" s="256">
        <f>GETPIVOTDATA("Sum of Old-Tot G SCH Calc",'Pivot Table for Fact Book'!$A$3,"State","OK","type",1,"Type2","Four-Year")</f>
        <v>215957</v>
      </c>
      <c r="C57" s="257">
        <f>GETPIVOTDATA("Sum of New-Tot G SCH Calc",'Pivot Table for Fact Book'!$A$3,"State","OK","type",1,"Type2","Four-Year")</f>
        <v>215751</v>
      </c>
      <c r="D57" s="256">
        <f>GETPIVOTDATA("Sum of Old-Tot G SCH Calc",'Pivot Table for Fact Book'!$A$3,"State","OK","type",2,"Type2","Four-Year")</f>
        <v>0</v>
      </c>
      <c r="E57" s="257">
        <f>GETPIVOTDATA("Sum of New-Tot G SCH Calc",'Pivot Table for Fact Book'!$A$3,"State","OK","type",2,"Type2","Four-Year")</f>
        <v>0</v>
      </c>
      <c r="F57" s="256">
        <f>GETPIVOTDATA("Sum of Old-Tot G SCH Calc",'Pivot Table for Fact Book'!$A$3,"State","OK","type",3,"Type2","Four-Year")</f>
        <v>44392</v>
      </c>
      <c r="G57" s="257">
        <f>GETPIVOTDATA("Sum of New-Tot G SCH Calc",'Pivot Table for Fact Book'!$A$3,"State","OK","type",3,"Type2","Four-Year")</f>
        <v>57907</v>
      </c>
      <c r="H57" s="256">
        <f>GETPIVOTDATA("Sum of Old-Tot G SCH Calc",'Pivot Table for Fact Book'!$A$3,"State","OK","type",4,"Type2","Four-Year")</f>
        <v>26647</v>
      </c>
      <c r="I57" s="257">
        <f>GETPIVOTDATA("Sum of New-Tot G SCH Calc",'Pivot Table for Fact Book'!$A$3,"State","OK","type",4,"Type2","Four-Year")</f>
        <v>20694</v>
      </c>
      <c r="J57" s="256">
        <f>GETPIVOTDATA("Sum of Old-Tot G SCH Calc",'Pivot Table for Fact Book'!$A$3,"State","OK","type",5,"Type2","Four-Year")</f>
        <v>25494</v>
      </c>
      <c r="K57" s="257">
        <f>GETPIVOTDATA("Sum of New-Tot G SCH Calc",'Pivot Table for Fact Book'!$A$3,"State","OK","type",5,"Type2","Four-Year")</f>
        <v>21144</v>
      </c>
      <c r="L57" s="256">
        <f>GETPIVOTDATA("Sum of Old-Tot G SCH Calc",'Pivot Table for Fact Book'!$A$3,"State","OK","type",6,"Type2","Four-Year")</f>
        <v>504</v>
      </c>
      <c r="M57" s="257">
        <f>GETPIVOTDATA("Sum of New-Tot G SCH Calc",'Pivot Table for Fact Book'!$A$3,"State","OK","type",6,"Type2","Four-Year")</f>
        <v>459</v>
      </c>
      <c r="N57" s="256">
        <f>GETPIVOTDATA("Sum of Old-Tot G SCH Calc",'Pivot Table for Fact Book'!$A$3,"State","OK","type",15,"Type2","Four-Year")</f>
        <v>0</v>
      </c>
      <c r="O57" s="257">
        <f>GETPIVOTDATA("Sum of New-Tot G SCH Calc",'Pivot Table for Fact Book'!$A$3,"State","OK","type",15,"Type2","Four-Year")</f>
        <v>0</v>
      </c>
      <c r="P57" s="258">
        <f>GETPIVOTDATA("Sum of Old-Tot G SCH Calc",'Pivot Table for Fact Book'!$A$3,"State","OK","Type2","Four-Year")</f>
        <v>312994</v>
      </c>
      <c r="Q57" s="258">
        <f>GETPIVOTDATA("Sum of New-Tot G SCH Calc",'Pivot Table for Fact Book'!$A$3,"State","OK","Type2","Four-Year")</f>
        <v>315955</v>
      </c>
    </row>
    <row r="58" spans="1:17">
      <c r="A58" s="269" t="s">
        <v>836</v>
      </c>
      <c r="B58" s="256">
        <f>GETPIVOTDATA("Sum of Old-Tot G SCH Calc",'Pivot Table for Fact Book'!$A$3,"State","SC","type",1,"Type2","Four-Year")</f>
        <v>265836</v>
      </c>
      <c r="C58" s="257">
        <f>GETPIVOTDATA("Sum of New-Tot G SCH Calc",'Pivot Table for Fact Book'!$A$3,"State","SC","type",1,"Type2","Four-Year")</f>
        <v>263420</v>
      </c>
      <c r="D58" s="256">
        <f>GETPIVOTDATA("Sum of Old-Tot G SCH Calc",'Pivot Table for Fact Book'!$A$3,"State","SC","type",2,"Type2","Four-Year")</f>
        <v>0</v>
      </c>
      <c r="E58" s="257">
        <f>GETPIVOTDATA("Sum of New-Tot G SCH Calc",'Pivot Table for Fact Book'!$A$3,"State","SC","type",2,"Type2","Four-Year")</f>
        <v>0</v>
      </c>
      <c r="F58" s="256">
        <f>GETPIVOTDATA("Sum of Old-Tot G SCH Calc",'Pivot Table for Fact Book'!$A$3,"State","SC","type",3,"Type2","Four-Year")</f>
        <v>42525</v>
      </c>
      <c r="G58" s="257">
        <f>GETPIVOTDATA("Sum of New-Tot G SCH Calc",'Pivot Table for Fact Book'!$A$3,"State","SC","type",3,"Type2","Four-Year")</f>
        <v>41405.5</v>
      </c>
      <c r="H58" s="256">
        <f>GETPIVOTDATA("Sum of Old-Tot G SCH Calc",'Pivot Table for Fact Book'!$A$3,"State","SC","type",4,"Type2","Four-Year")</f>
        <v>14068</v>
      </c>
      <c r="I58" s="257">
        <f>GETPIVOTDATA("Sum of New-Tot G SCH Calc",'Pivot Table for Fact Book'!$A$3,"State","SC","type",4,"Type2","Four-Year")</f>
        <v>13125</v>
      </c>
      <c r="J58" s="256">
        <f>GETPIVOTDATA("Sum of Old-Tot G SCH Calc",'Pivot Table for Fact Book'!$A$3,"State","SC","type",5,"Type2","Four-Year")</f>
        <v>12903</v>
      </c>
      <c r="K58" s="257">
        <f>GETPIVOTDATA("Sum of New-Tot G SCH Calc",'Pivot Table for Fact Book'!$A$3,"State","SC","type",5,"Type2","Four-Year")</f>
        <v>16280</v>
      </c>
      <c r="L58" s="256">
        <f>GETPIVOTDATA("Sum of Old-Tot G SCH Calc",'Pivot Table for Fact Book'!$A$3,"State","SC","type",6,"Type2","Four-Year")</f>
        <v>6505</v>
      </c>
      <c r="M58" s="257">
        <f>GETPIVOTDATA("Sum of New-Tot G SCH Calc",'Pivot Table for Fact Book'!$A$3,"State","SC","type",6,"Type2","Four-Year")</f>
        <v>4856</v>
      </c>
      <c r="N58" s="256">
        <f>GETPIVOTDATA("Sum of Old-Tot G SCH Calc",'Pivot Table for Fact Book'!$A$3,"State","SC","type",15,"Type2","Four-Year")</f>
        <v>0</v>
      </c>
      <c r="O58" s="257">
        <f>GETPIVOTDATA("Sum of New-Tot G SCH Calc",'Pivot Table for Fact Book'!$A$3,"State","SC","type",15,"Type2","Four-Year")</f>
        <v>0</v>
      </c>
      <c r="P58" s="258">
        <f>GETPIVOTDATA("Sum of Old-Tot G SCH Calc",'Pivot Table for Fact Book'!$A$3,"State","SC","Type2","Four-Year")</f>
        <v>341837</v>
      </c>
      <c r="Q58" s="258">
        <f>GETPIVOTDATA("Sum of New-Tot G SCH Calc",'Pivot Table for Fact Book'!$A$3,"State","SC","Type2","Four-Year")</f>
        <v>339086.5</v>
      </c>
    </row>
    <row r="59" spans="1:17">
      <c r="A59" s="269" t="s">
        <v>837</v>
      </c>
      <c r="B59" s="256">
        <f>GETPIVOTDATA("Sum of Old-Tot G SCH Calc",'Pivot Table for Fact Book'!$A$3,"State","TN","type",1,"Type2","Four-Year")</f>
        <v>149922</v>
      </c>
      <c r="C59" s="257">
        <f>GETPIVOTDATA("Sum of New-Tot G SCH Calc",'Pivot Table for Fact Book'!$A$3,"State","TN","type",1,"Type2","Four-Year")</f>
        <v>151272</v>
      </c>
      <c r="D59" s="256">
        <f>GETPIVOTDATA("Sum of Old-Tot G SCH Calc",'Pivot Table for Fact Book'!$A$3,"State","TN","type",2,"Type2","Four-Year")</f>
        <v>103381</v>
      </c>
      <c r="E59" s="257">
        <f>GETPIVOTDATA("Sum of New-Tot G SCH Calc",'Pivot Table for Fact Book'!$A$3,"State","TN","type",2,"Type2","Four-Year")</f>
        <v>103954</v>
      </c>
      <c r="F59" s="256">
        <f>GETPIVOTDATA("Sum of Old-Tot G SCH Calc",'Pivot Table for Fact Book'!$A$3,"State","TN","type",3,"Type2","Four-Year")</f>
        <v>56521</v>
      </c>
      <c r="G59" s="257">
        <f>GETPIVOTDATA("Sum of New-Tot G SCH Calc",'Pivot Table for Fact Book'!$A$3,"State","TN","type",3,"Type2","Four-Year")</f>
        <v>60961</v>
      </c>
      <c r="H59" s="256">
        <f>GETPIVOTDATA("Sum of Old-Tot G SCH Calc",'Pivot Table for Fact Book'!$A$3,"State","TN","type",4,"Type2","Four-Year")</f>
        <v>0</v>
      </c>
      <c r="I59" s="257">
        <f>GETPIVOTDATA("Sum of New-Tot G SCH Calc",'Pivot Table for Fact Book'!$A$3,"State","TN","type",4,"Type2","Four-Year")</f>
        <v>0</v>
      </c>
      <c r="J59" s="256">
        <f>GETPIVOTDATA("Sum of Old-Tot G SCH Calc",'Pivot Table for Fact Book'!$A$3,"State","TN","type",5,"Type2","Four-Year")</f>
        <v>6757</v>
      </c>
      <c r="K59" s="257">
        <f>GETPIVOTDATA("Sum of New-Tot G SCH Calc",'Pivot Table for Fact Book'!$A$3,"State","TN","type",5,"Type2","Four-Year")</f>
        <v>5602</v>
      </c>
      <c r="L59" s="256">
        <f>GETPIVOTDATA("Sum of Old-Tot G SCH Calc",'Pivot Table for Fact Book'!$A$3,"State","TN","type",6,"Type2","Four-Year")</f>
        <v>0</v>
      </c>
      <c r="M59" s="257">
        <f>GETPIVOTDATA("Sum of New-Tot G SCH Calc",'Pivot Table for Fact Book'!$A$3,"State","TN","type",6,"Type2","Four-Year")</f>
        <v>0</v>
      </c>
      <c r="N59" s="256">
        <f>GETPIVOTDATA("Sum of Old-Tot G SCH Calc",'Pivot Table for Fact Book'!$A$3,"State","TN","type",15,"Type2","Four-Year")</f>
        <v>0</v>
      </c>
      <c r="O59" s="257">
        <f>GETPIVOTDATA("Sum of New-Tot G SCH Calc",'Pivot Table for Fact Book'!$A$3,"State","TN","type",15,"Type2","Four-Year")</f>
        <v>0</v>
      </c>
      <c r="P59" s="258">
        <f>GETPIVOTDATA("Sum of Old-Tot G SCH Calc",'Pivot Table for Fact Book'!$A$3,"State","TN","Type2","Four-Year")</f>
        <v>316581</v>
      </c>
      <c r="Q59" s="258">
        <f>GETPIVOTDATA("Sum of New-Tot G SCH Calc",'Pivot Table for Fact Book'!$A$3,"State","TN","Type2","Four-Year")</f>
        <v>321789</v>
      </c>
    </row>
    <row r="60" spans="1:17">
      <c r="A60" s="269" t="s">
        <v>838</v>
      </c>
      <c r="B60" s="256">
        <f>GETPIVOTDATA("Sum of Old-Tot G SCH Calc",'Pivot Table for Fact Book'!$A$3,"State","TX","type",1,"Type2","Four-Year")</f>
        <v>1310839</v>
      </c>
      <c r="C60" s="257">
        <f>GETPIVOTDATA("Sum of New-Tot G SCH Calc",'Pivot Table for Fact Book'!$A$3,"State","TX","type",1,"Type2","Four-Year")</f>
        <v>1297518</v>
      </c>
      <c r="D60" s="256">
        <f>GETPIVOTDATA("Sum of Old-Tot G SCH Calc",'Pivot Table for Fact Book'!$A$3,"State","TX","type",2,"Type2","Four-Year")</f>
        <v>227286</v>
      </c>
      <c r="E60" s="257">
        <f>GETPIVOTDATA("Sum of New-Tot G SCH Calc",'Pivot Table for Fact Book'!$A$3,"State","TX","type",2,"Type2","Four-Year")</f>
        <v>227260</v>
      </c>
      <c r="F60" s="256">
        <f>GETPIVOTDATA("Sum of Old-Tot G SCH Calc",'Pivot Table for Fact Book'!$A$3,"State","TX","type",3,"Type2","Four-Year")</f>
        <v>691909</v>
      </c>
      <c r="G60" s="257">
        <f>GETPIVOTDATA("Sum of New-Tot G SCH Calc",'Pivot Table for Fact Book'!$A$3,"State","TX","type",3,"Type2","Four-Year")</f>
        <v>674917</v>
      </c>
      <c r="H60" s="256">
        <f>GETPIVOTDATA("Sum of Old-Tot G SCH Calc",'Pivot Table for Fact Book'!$A$3,"State","TX","type",4,"Type2","Four-Year")</f>
        <v>32550</v>
      </c>
      <c r="I60" s="257">
        <f>GETPIVOTDATA("Sum of New-Tot G SCH Calc",'Pivot Table for Fact Book'!$A$3,"State","TX","type",4,"Type2","Four-Year")</f>
        <v>31836</v>
      </c>
      <c r="J60" s="256">
        <f>GETPIVOTDATA("Sum of Old-Tot G SCH Calc",'Pivot Table for Fact Book'!$A$3,"State","TX","type",5,"Type2","Four-Year")</f>
        <v>49558</v>
      </c>
      <c r="K60" s="257">
        <f>GETPIVOTDATA("Sum of New-Tot G SCH Calc",'Pivot Table for Fact Book'!$A$3,"State","TX","type",5,"Type2","Four-Year")</f>
        <v>47227</v>
      </c>
      <c r="L60" s="256">
        <f>GETPIVOTDATA("Sum of Old-Tot G SCH Calc",'Pivot Table for Fact Book'!$A$3,"State","TX","type",6,"Type2","Four-Year")</f>
        <v>0</v>
      </c>
      <c r="M60" s="257">
        <f>GETPIVOTDATA("Sum of New-Tot G SCH Calc",'Pivot Table for Fact Book'!$A$3,"State","TX","type",6,"Type2","Four-Year")</f>
        <v>0</v>
      </c>
      <c r="N60" s="256">
        <f>GETPIVOTDATA("Sum of Old-Tot G SCH Calc",'Pivot Table for Fact Book'!$A$3,"State","TX","type",15,"Type2","Four-Year")</f>
        <v>0</v>
      </c>
      <c r="O60" s="257">
        <f>GETPIVOTDATA("Sum of New-Tot G SCH Calc",'Pivot Table for Fact Book'!$A$3,"State","TX","type",15,"Type2","Four-Year")</f>
        <v>0</v>
      </c>
      <c r="P60" s="258">
        <f>GETPIVOTDATA("Sum of Old-Tot G SCH Calc",'Pivot Table for Fact Book'!$A$3,"State","TX","Type2","Four-Year")</f>
        <v>2312142</v>
      </c>
      <c r="Q60" s="258">
        <f>GETPIVOTDATA("Sum of New-Tot G SCH Calc",'Pivot Table for Fact Book'!$A$3,"State","TX","Type2","Four-Year")</f>
        <v>2278758</v>
      </c>
    </row>
    <row r="61" spans="1:17">
      <c r="A61" s="269" t="s">
        <v>839</v>
      </c>
      <c r="B61" s="256">
        <f>GETPIVOTDATA("Sum of Old-Tot G SCH Calc",'Pivot Table for Fact Book'!$A$3,"State","VA","type",1,"Type2","Four-Year")</f>
        <v>706973</v>
      </c>
      <c r="C61" s="257">
        <f>GETPIVOTDATA("Sum of New-Tot G SCH Calc",'Pivot Table for Fact Book'!$A$3,"State","VA","type",1,"Type2","Four-Year")</f>
        <v>709963</v>
      </c>
      <c r="D61" s="256">
        <f>GETPIVOTDATA("Sum of Old-Tot G SCH Calc",'Pivot Table for Fact Book'!$A$3,"State","VA","type",2,"Type2","Four-Year")</f>
        <v>61157.5</v>
      </c>
      <c r="E61" s="257">
        <f>GETPIVOTDATA("Sum of New-Tot G SCH Calc",'Pivot Table for Fact Book'!$A$3,"State","VA","type",2,"Type2","Four-Year")</f>
        <v>61312.5</v>
      </c>
      <c r="F61" s="256">
        <f>GETPIVOTDATA("Sum of Old-Tot G SCH Calc",'Pivot Table for Fact Book'!$A$3,"State","VA","type",3,"Type2","Four-Year")</f>
        <v>90507</v>
      </c>
      <c r="G61" s="257">
        <f>GETPIVOTDATA("Sum of New-Tot G SCH Calc",'Pivot Table for Fact Book'!$A$3,"State","VA","type",3,"Type2","Four-Year")</f>
        <v>90711.4</v>
      </c>
      <c r="H61" s="256">
        <f>GETPIVOTDATA("Sum of Old-Tot G SCH Calc",'Pivot Table for Fact Book'!$A$3,"State","VA","type",4,"Type2","Four-Year")</f>
        <v>0</v>
      </c>
      <c r="I61" s="257">
        <f>GETPIVOTDATA("Sum of New-Tot G SCH Calc",'Pivot Table for Fact Book'!$A$3,"State","VA","type",4,"Type2","Four-Year")</f>
        <v>0</v>
      </c>
      <c r="J61" s="256">
        <f>GETPIVOTDATA("Sum of Old-Tot G SCH Calc",'Pivot Table for Fact Book'!$A$3,"State","VA","type",5,"Type2","Four-Year")</f>
        <v>3412</v>
      </c>
      <c r="K61" s="257">
        <f>GETPIVOTDATA("Sum of New-Tot G SCH Calc",'Pivot Table for Fact Book'!$A$3,"State","VA","type",5,"Type2","Four-Year")</f>
        <v>3022</v>
      </c>
      <c r="L61" s="256">
        <f>GETPIVOTDATA("Sum of Old-Tot G SCH Calc",'Pivot Table for Fact Book'!$A$3,"State","VA","type",6,"Type2","Four-Year")</f>
        <v>0</v>
      </c>
      <c r="M61" s="257">
        <f>GETPIVOTDATA("Sum of New-Tot G SCH Calc",'Pivot Table for Fact Book'!$A$3,"State","VA","type",6,"Type2","Four-Year")</f>
        <v>0</v>
      </c>
      <c r="N61" s="256">
        <f>GETPIVOTDATA("Sum of Old-Tot G SCH Calc",'Pivot Table for Fact Book'!$A$3,"State","VA","type",15,"Type2","Four-Year")</f>
        <v>0</v>
      </c>
      <c r="O61" s="257">
        <f>GETPIVOTDATA("Sum of New-Tot G SCH Calc",'Pivot Table for Fact Book'!$A$3,"State","VA","type",15,"Type2","Four-Year")</f>
        <v>0</v>
      </c>
      <c r="P61" s="258">
        <f>GETPIVOTDATA("Sum of Old-Tot G SCH Calc",'Pivot Table for Fact Book'!$A$3,"State","VA","Type2","Four-Year")</f>
        <v>862049.5</v>
      </c>
      <c r="Q61" s="258">
        <f>GETPIVOTDATA("Sum of New-Tot G SCH Calc",'Pivot Table for Fact Book'!$A$3,"State","VA","Type2","Four-Year")</f>
        <v>865008.9</v>
      </c>
    </row>
    <row r="62" spans="1:17">
      <c r="A62" s="290" t="s">
        <v>840</v>
      </c>
      <c r="B62" s="262">
        <f>GETPIVOTDATA("Sum of Old-Tot G SCH Calc",'Pivot Table for Fact Book'!$A$3,"State","WV","type",1,"Type2","Four-Year")</f>
        <v>91119</v>
      </c>
      <c r="C62" s="263">
        <f>GETPIVOTDATA("Sum of New-Tot G SCH Calc",'Pivot Table for Fact Book'!$A$3,"State","WV","type",1,"Type2","Four-Year")</f>
        <v>86140</v>
      </c>
      <c r="D62" s="262">
        <f>GETPIVOTDATA("Sum of Old-Tot G SCH Calc",'Pivot Table for Fact Book'!$A$3,"State","WV","type",2,"Type2","Four-Year")</f>
        <v>0</v>
      </c>
      <c r="E62" s="263">
        <f>GETPIVOTDATA("Sum of New-Tot G SCH Calc",'Pivot Table for Fact Book'!$A$3,"State","WV","type",2,"Type2","Four-Year")</f>
        <v>0</v>
      </c>
      <c r="F62" s="262">
        <f>GETPIVOTDATA("Sum of Old-Tot G SCH Calc",'Pivot Table for Fact Book'!$A$3,"State","WV","type",3,"Type2","Four-Year")</f>
        <v>69223</v>
      </c>
      <c r="G62" s="263">
        <f>GETPIVOTDATA("Sum of New-Tot G SCH Calc",'Pivot Table for Fact Book'!$A$3,"State","WV","type",3,"Type2","Four-Year")</f>
        <v>67756</v>
      </c>
      <c r="H62" s="262">
        <f>GETPIVOTDATA("Sum of Old-Tot G SCH Calc",'Pivot Table for Fact Book'!$A$3,"State","WV","type",4,"Type2","Four-Year")</f>
        <v>0</v>
      </c>
      <c r="I62" s="263">
        <f>GETPIVOTDATA("Sum of New-Tot G SCH Calc",'Pivot Table for Fact Book'!$A$3,"State","WV","type",4,"Type2","Four-Year")</f>
        <v>0</v>
      </c>
      <c r="J62" s="262">
        <f>GETPIVOTDATA("Sum of Old-Tot G SCH Calc",'Pivot Table for Fact Book'!$A$3,"State","WV","type",5,"Type2","Four-Year")</f>
        <v>21942</v>
      </c>
      <c r="K62" s="263">
        <f>GETPIVOTDATA("Sum of New-Tot G SCH Calc",'Pivot Table for Fact Book'!$A$3,"State","WV","type",5,"Type2","Four-Year")</f>
        <v>22298</v>
      </c>
      <c r="L62" s="262">
        <f>GETPIVOTDATA("Sum of Old-Tot G SCH Calc",'Pivot Table for Fact Book'!$A$3,"State","WV","type",6,"Type2","Four-Year")</f>
        <v>1887</v>
      </c>
      <c r="M62" s="263">
        <f>GETPIVOTDATA("Sum of New-Tot G SCH Calc",'Pivot Table for Fact Book'!$A$3,"State","WV","type",6,"Type2","Four-Year")</f>
        <v>2304</v>
      </c>
      <c r="N62" s="262">
        <f>GETPIVOTDATA("Sum of Old-Tot G SCH Calc",'Pivot Table for Fact Book'!$A$3,"State","WV","type",15,"Type2","Four-Year")</f>
        <v>0</v>
      </c>
      <c r="O62" s="263">
        <f>GETPIVOTDATA("Sum of New-Tot G SCH Calc",'Pivot Table for Fact Book'!$A$3,"State","WV","type",15,"Type2","Four-Year")</f>
        <v>0</v>
      </c>
      <c r="P62" s="264">
        <f>GETPIVOTDATA("Sum of Old-Tot G SCH Calc",'Pivot Table for Fact Book'!$A$3,"State","WV","Type2","Four-Year")</f>
        <v>184171</v>
      </c>
      <c r="Q62" s="264">
        <f>GETPIVOTDATA("Sum of New-Tot G SCH Calc",'Pivot Table for Fact Book'!$A$3,"State","WV","Type2","Four-Year")</f>
        <v>178498</v>
      </c>
    </row>
    <row r="64" spans="1:17">
      <c r="A64" s="268" t="s">
        <v>843</v>
      </c>
    </row>
    <row r="65" spans="1:17">
      <c r="B65" s="270" t="s">
        <v>821</v>
      </c>
      <c r="C65" s="271"/>
      <c r="D65" s="271"/>
      <c r="E65" s="271"/>
      <c r="F65" s="271"/>
      <c r="G65" s="271"/>
      <c r="H65" s="271"/>
      <c r="I65" s="271"/>
      <c r="J65" s="271"/>
      <c r="K65" s="271"/>
      <c r="L65" s="271"/>
      <c r="M65" s="271"/>
      <c r="N65" s="271"/>
      <c r="O65" s="271"/>
      <c r="P65" s="271"/>
      <c r="Q65" s="271"/>
    </row>
    <row r="66" spans="1:17">
      <c r="B66" s="276">
        <v>1</v>
      </c>
      <c r="C66" s="277"/>
      <c r="D66" s="276">
        <v>2</v>
      </c>
      <c r="E66" s="277"/>
      <c r="F66" s="276">
        <v>3</v>
      </c>
      <c r="G66" s="277"/>
      <c r="H66" s="276">
        <v>4</v>
      </c>
      <c r="I66" s="277"/>
      <c r="J66" s="276">
        <v>5</v>
      </c>
      <c r="K66" s="277"/>
      <c r="L66" s="276">
        <v>6</v>
      </c>
      <c r="M66" s="277"/>
      <c r="N66" s="276">
        <v>15</v>
      </c>
      <c r="O66" s="277"/>
      <c r="P66" s="276" t="s">
        <v>824</v>
      </c>
      <c r="Q66" s="278"/>
    </row>
    <row r="67" spans="1:17" s="292" customFormat="1">
      <c r="A67" s="291"/>
      <c r="B67" s="284">
        <v>2014</v>
      </c>
      <c r="C67" s="285">
        <v>2015</v>
      </c>
      <c r="D67" s="284">
        <v>2014</v>
      </c>
      <c r="E67" s="285">
        <v>2015</v>
      </c>
      <c r="F67" s="284">
        <v>2014</v>
      </c>
      <c r="G67" s="285">
        <v>2015</v>
      </c>
      <c r="H67" s="284">
        <v>2014</v>
      </c>
      <c r="I67" s="285">
        <v>2015</v>
      </c>
      <c r="J67" s="284">
        <v>2014</v>
      </c>
      <c r="K67" s="285">
        <v>2015</v>
      </c>
      <c r="L67" s="284">
        <v>2014</v>
      </c>
      <c r="M67" s="285">
        <v>2015</v>
      </c>
      <c r="N67" s="284">
        <v>2014</v>
      </c>
      <c r="O67" s="285">
        <v>2015</v>
      </c>
      <c r="P67" s="284">
        <v>2014</v>
      </c>
      <c r="Q67" s="285">
        <v>2015</v>
      </c>
    </row>
    <row r="68" spans="1:17">
      <c r="A68" s="269" t="s">
        <v>825</v>
      </c>
      <c r="B68" s="256">
        <f>GETPIVOTDATA("Sum of Old G E-Learning",'Pivot Table for Fact Book'!$A$3,"State","AL","type",1,"Type2","Four-Year")</f>
        <v>65307</v>
      </c>
      <c r="C68" s="257">
        <f>GETPIVOTDATA("Sum of New G E-Learning",'Pivot Table for Fact Book'!$A$3,"State","AL","type",1,"Type2","Four-Year")</f>
        <v>68566</v>
      </c>
      <c r="D68" s="256">
        <f>GETPIVOTDATA("Sum of Old G E-Learning",'Pivot Table for Fact Book'!$A$3,"State","AL","type",2,"Type2","Four-Year")</f>
        <v>14847</v>
      </c>
      <c r="E68" s="257">
        <f>GETPIVOTDATA("Sum of New G E-Learning",'Pivot Table for Fact Book'!$A$3,"State","AL","type",2,"Type2","Four-Year")</f>
        <v>14784</v>
      </c>
      <c r="F68" s="256">
        <f>GETPIVOTDATA("Sum of Old G E-Learning",'Pivot Table for Fact Book'!$A$3,"State","AL","type",3,"Type2","Four-Year")</f>
        <v>40982</v>
      </c>
      <c r="G68" s="257">
        <f>GETPIVOTDATA("Sum of New G E-Learning",'Pivot Table for Fact Book'!$A$3,"State","AL","type",3,"Type2","Four-Year")</f>
        <v>51599</v>
      </c>
      <c r="H68" s="256">
        <f>GETPIVOTDATA("Sum of Old G E-Learning",'Pivot Table for Fact Book'!$A$3,"State","AL","type",4,"Type2","Four-Year")</f>
        <v>8444</v>
      </c>
      <c r="I68" s="257">
        <f>GETPIVOTDATA("Sum of New G E-Learning",'Pivot Table for Fact Book'!$A$3,"State","AL","type",4,"Type2","Four-Year")</f>
        <v>8530</v>
      </c>
      <c r="J68" s="256">
        <f>GETPIVOTDATA("Sum of Old G E-Learning",'Pivot Table for Fact Book'!$A$3,"State","AL","type",5,"Type2","Four-Year")</f>
        <v>43959</v>
      </c>
      <c r="K68" s="257">
        <f>GETPIVOTDATA("Sum of New G E-Learning",'Pivot Table for Fact Book'!$A$3,"State","AL","type",5,"Type2","Four-Year")</f>
        <v>54109</v>
      </c>
      <c r="L68" s="256">
        <f>GETPIVOTDATA("Sum of Old G E-Learning",'Pivot Table for Fact Book'!$A$3,"State","AL","type",6,"Type2","Four-Year")</f>
        <v>1218</v>
      </c>
      <c r="M68" s="257">
        <f>GETPIVOTDATA("Sum of New G E-Learning",'Pivot Table for Fact Book'!$A$3,"State","AL","type",6,"Type2","Four-Year")</f>
        <v>2346</v>
      </c>
      <c r="N68" s="256">
        <f>GETPIVOTDATA("Sum of Old G E-Learning",'Pivot Table for Fact Book'!$A$3,"State","AL","type",15,"Type2","Four-Year")</f>
        <v>0</v>
      </c>
      <c r="O68" s="257">
        <f>GETPIVOTDATA("Sum of New G E-Learning",'Pivot Table for Fact Book'!$A$3,"State","AL","type",15,"Type2","Four-Year")</f>
        <v>0</v>
      </c>
      <c r="P68" s="258">
        <f>GETPIVOTDATA("Sum of Old G E-Learning",'Pivot Table for Fact Book'!$A$3,"State","AL","Type2","Four-Year")</f>
        <v>174757</v>
      </c>
      <c r="Q68" s="258">
        <f>GETPIVOTDATA("Sum of New G E-Learning",'Pivot Table for Fact Book'!$A$3,"State","AL","Type2","Four-Year")</f>
        <v>199934</v>
      </c>
    </row>
    <row r="69" spans="1:17">
      <c r="A69" s="269" t="s">
        <v>826</v>
      </c>
      <c r="B69" s="256">
        <f>GETPIVOTDATA("Sum of Old G E-Learning",'Pivot Table for Fact Book'!$A$3,"State","AR","type",1,"Type2","Four-Year")</f>
        <v>24310</v>
      </c>
      <c r="C69" s="257">
        <f>GETPIVOTDATA("Sum of New G E-Learning",'Pivot Table for Fact Book'!$A$3,"State","AR","type",1,"Type2","Four-Year")</f>
        <v>25302</v>
      </c>
      <c r="D69" s="256">
        <f>GETPIVOTDATA("Sum of Old G E-Learning",'Pivot Table for Fact Book'!$A$3,"State","AR","type",2,"Type2","Four-Year")</f>
        <v>12078</v>
      </c>
      <c r="E69" s="257">
        <f>GETPIVOTDATA("Sum of New G E-Learning",'Pivot Table for Fact Book'!$A$3,"State","AR","type",2,"Type2","Four-Year")</f>
        <v>12446</v>
      </c>
      <c r="F69" s="256">
        <f>GETPIVOTDATA("Sum of Old G E-Learning",'Pivot Table for Fact Book'!$A$3,"State","AR","type",3,"Type2","Four-Year")</f>
        <v>101827</v>
      </c>
      <c r="G69" s="257">
        <f>GETPIVOTDATA("Sum of New G E-Learning",'Pivot Table for Fact Book'!$A$3,"State","AR","type",3,"Type2","Four-Year")</f>
        <v>104393</v>
      </c>
      <c r="H69" s="256">
        <f>GETPIVOTDATA("Sum of Old G E-Learning",'Pivot Table for Fact Book'!$A$3,"State","AR","type",4,"Type2","Four-Year")</f>
        <v>21768</v>
      </c>
      <c r="I69" s="257">
        <f>GETPIVOTDATA("Sum of New G E-Learning",'Pivot Table for Fact Book'!$A$3,"State","AR","type",4,"Type2","Four-Year")</f>
        <v>19145</v>
      </c>
      <c r="J69" s="256">
        <f>GETPIVOTDATA("Sum of Old G E-Learning",'Pivot Table for Fact Book'!$A$3,"State","AR","type",5,"Type2","Four-Year")</f>
        <v>4938</v>
      </c>
      <c r="K69" s="257">
        <f>GETPIVOTDATA("Sum of New G E-Learning",'Pivot Table for Fact Book'!$A$3,"State","AR","type",5,"Type2","Four-Year")</f>
        <v>5008</v>
      </c>
      <c r="L69" s="256">
        <f>GETPIVOTDATA("Sum of Old G E-Learning",'Pivot Table for Fact Book'!$A$3,"State","AR","type",6,"Type2","Four-Year")</f>
        <v>486</v>
      </c>
      <c r="M69" s="257">
        <f>GETPIVOTDATA("Sum of New G E-Learning",'Pivot Table for Fact Book'!$A$3,"State","AR","type",6,"Type2","Four-Year")</f>
        <v>564</v>
      </c>
      <c r="N69" s="256">
        <f>GETPIVOTDATA("Sum of Old G E-Learning",'Pivot Table for Fact Book'!$A$3,"State","AR","type",15,"Type2","Four-Year")</f>
        <v>0</v>
      </c>
      <c r="O69" s="257">
        <f>GETPIVOTDATA("Sum of New G E-Learning",'Pivot Table for Fact Book'!$A$3,"State","AR","type",15,"Type2","Four-Year")</f>
        <v>0</v>
      </c>
      <c r="P69" s="258">
        <f>GETPIVOTDATA("Sum of Old G E-Learning",'Pivot Table for Fact Book'!$A$3,"State","AR","Type2","Four-Year")</f>
        <v>165407</v>
      </c>
      <c r="Q69" s="258">
        <f>GETPIVOTDATA("Sum of New G E-Learning",'Pivot Table for Fact Book'!$A$3,"State","AR","Type2","Four-Year")</f>
        <v>166858</v>
      </c>
    </row>
    <row r="70" spans="1:17">
      <c r="A70" s="269" t="s">
        <v>827</v>
      </c>
      <c r="B70" s="256">
        <f>GETPIVOTDATA("Sum of Old G E-Learning",'Pivot Table for Fact Book'!$A$3,"State","DE","type",1,"Type2","Four-Year")</f>
        <v>7643</v>
      </c>
      <c r="C70" s="257">
        <f>GETPIVOTDATA("Sum of New G E-Learning",'Pivot Table for Fact Book'!$A$3,"State","DE","type",1,"Type2","Four-Year")</f>
        <v>10153</v>
      </c>
      <c r="D70" s="256">
        <f>GETPIVOTDATA("Sum of Old G E-Learning",'Pivot Table for Fact Book'!$A$3,"State","DE","type",2,"Type2","Four-Year")</f>
        <v>0</v>
      </c>
      <c r="E70" s="257">
        <f>GETPIVOTDATA("Sum of New G E-Learning",'Pivot Table for Fact Book'!$A$3,"State","DE","type",2,"Type2","Four-Year")</f>
        <v>0</v>
      </c>
      <c r="F70" s="256">
        <f>GETPIVOTDATA("Sum of Old G E-Learning",'Pivot Table for Fact Book'!$A$3,"State","DE","type",3,"Type2","Four-Year")</f>
        <v>717</v>
      </c>
      <c r="G70" s="257">
        <f>GETPIVOTDATA("Sum of New G E-Learning",'Pivot Table for Fact Book'!$A$3,"State","DE","type",3,"Type2","Four-Year")</f>
        <v>1431</v>
      </c>
      <c r="H70" s="256">
        <f>GETPIVOTDATA("Sum of Old G E-Learning",'Pivot Table for Fact Book'!$A$3,"State","DE","type",4,"Type2","Four-Year")</f>
        <v>0</v>
      </c>
      <c r="I70" s="257">
        <f>GETPIVOTDATA("Sum of New G E-Learning",'Pivot Table for Fact Book'!$A$3,"State","DE","type",4,"Type2","Four-Year")</f>
        <v>0</v>
      </c>
      <c r="J70" s="256">
        <f>GETPIVOTDATA("Sum of Old G E-Learning",'Pivot Table for Fact Book'!$A$3,"State","DE","type",5,"Type2","Four-Year")</f>
        <v>0</v>
      </c>
      <c r="K70" s="257">
        <f>GETPIVOTDATA("Sum of New G E-Learning",'Pivot Table for Fact Book'!$A$3,"State","DE","type",5,"Type2","Four-Year")</f>
        <v>0</v>
      </c>
      <c r="L70" s="256">
        <f>GETPIVOTDATA("Sum of Old G E-Learning",'Pivot Table for Fact Book'!$A$3,"State","DE","type",6,"Type2","Four-Year")</f>
        <v>0</v>
      </c>
      <c r="M70" s="257">
        <f>GETPIVOTDATA("Sum of New G E-Learning",'Pivot Table for Fact Book'!$A$3,"State","DE","type",6,"Type2","Four-Year")</f>
        <v>0</v>
      </c>
      <c r="N70" s="256">
        <f>GETPIVOTDATA("Sum of Old G E-Learning",'Pivot Table for Fact Book'!$A$3,"State","DE","type",15,"Type2","Four-Year")</f>
        <v>0</v>
      </c>
      <c r="O70" s="257">
        <f>GETPIVOTDATA("Sum of New G E-Learning",'Pivot Table for Fact Book'!$A$3,"State","DE","type",15,"Type2","Four-Year")</f>
        <v>0</v>
      </c>
      <c r="P70" s="258">
        <f>GETPIVOTDATA("Sum of Old G E-Learning",'Pivot Table for Fact Book'!$A$3,"State","DE","Type2","Four-Year")</f>
        <v>8360</v>
      </c>
      <c r="Q70" s="258">
        <f>GETPIVOTDATA("Sum of New G E-Learning",'Pivot Table for Fact Book'!$A$3,"State","DE","Type2","Four-Year")</f>
        <v>11584</v>
      </c>
    </row>
    <row r="71" spans="1:17">
      <c r="A71" s="269" t="s">
        <v>828</v>
      </c>
      <c r="B71" s="256">
        <f>GETPIVOTDATA("Sum of Old G E-Learning",'Pivot Table for Fact Book'!$A$3,"State","FL","type",1,"Type2","Four-Year")</f>
        <v>0</v>
      </c>
      <c r="C71" s="257">
        <f>GETPIVOTDATA("Sum of New G E-Learning",'Pivot Table for Fact Book'!$A$3,"State","FL","type",1,"Type2","Four-Year")</f>
        <v>0</v>
      </c>
      <c r="D71" s="256">
        <f>GETPIVOTDATA("Sum of Old G E-Learning",'Pivot Table for Fact Book'!$A$3,"State","FL","type",2,"Type2","Four-Year")</f>
        <v>0</v>
      </c>
      <c r="E71" s="257">
        <f>GETPIVOTDATA("Sum of New G E-Learning",'Pivot Table for Fact Book'!$A$3,"State","FL","type",2,"Type2","Four-Year")</f>
        <v>0</v>
      </c>
      <c r="F71" s="256">
        <f>GETPIVOTDATA("Sum of Old G E-Learning",'Pivot Table for Fact Book'!$A$3,"State","FL","type",3,"Type2","Four-Year")</f>
        <v>0</v>
      </c>
      <c r="G71" s="257">
        <f>GETPIVOTDATA("Sum of New G E-Learning",'Pivot Table for Fact Book'!$A$3,"State","FL","type",3,"Type2","Four-Year")</f>
        <v>0</v>
      </c>
      <c r="H71" s="256">
        <f>GETPIVOTDATA("Sum of Old G E-Learning",'Pivot Table for Fact Book'!$A$3,"State","FL","type",4,"Type2","Four-Year")</f>
        <v>0</v>
      </c>
      <c r="I71" s="257">
        <f>GETPIVOTDATA("Sum of New G E-Learning",'Pivot Table for Fact Book'!$A$3,"State","FL","type",4,"Type2","Four-Year")</f>
        <v>0</v>
      </c>
      <c r="J71" s="256">
        <f>GETPIVOTDATA("Sum of Old G E-Learning",'Pivot Table for Fact Book'!$A$3,"State","FL","type",5,"Type2","Four-Year")</f>
        <v>0</v>
      </c>
      <c r="K71" s="257">
        <f>GETPIVOTDATA("Sum of New G E-Learning",'Pivot Table for Fact Book'!$A$3,"State","FL","type",5,"Type2","Four-Year")</f>
        <v>0</v>
      </c>
      <c r="L71" s="256">
        <f>GETPIVOTDATA("Sum of Old G E-Learning",'Pivot Table for Fact Book'!$A$3,"State","FL","type",6,"Type2","Four-Year")</f>
        <v>0</v>
      </c>
      <c r="M71" s="257">
        <f>GETPIVOTDATA("Sum of New G E-Learning",'Pivot Table for Fact Book'!$A$3,"State","FL","type",6,"Type2","Four-Year")</f>
        <v>0</v>
      </c>
      <c r="N71" s="256">
        <f>GETPIVOTDATA("Sum of Old G E-Learning",'Pivot Table for Fact Book'!$A$3,"State","FL","type",15,"Type2","Four-Year")</f>
        <v>0</v>
      </c>
      <c r="O71" s="257">
        <f>GETPIVOTDATA("Sum of New G E-Learning",'Pivot Table for Fact Book'!$A$3,"State","FL","type",15,"Type2","Four-Year")</f>
        <v>0</v>
      </c>
      <c r="P71" s="258">
        <f>GETPIVOTDATA("Sum of Old G E-Learning",'Pivot Table for Fact Book'!$A$3,"State","FL","Type2","Four-Year")</f>
        <v>0</v>
      </c>
      <c r="Q71" s="258">
        <f>GETPIVOTDATA("Sum of New G E-Learning",'Pivot Table for Fact Book'!$A$3,"State","FL","Type2","Four-Year")</f>
        <v>0</v>
      </c>
    </row>
    <row r="72" spans="1:17">
      <c r="A72" s="269" t="s">
        <v>829</v>
      </c>
      <c r="B72" s="256">
        <f>GETPIVOTDATA("Sum of Old G E-Learning",'Pivot Table for Fact Book'!$A$3,"State","GA","type",1,"Type2","Four-Year")</f>
        <v>25701</v>
      </c>
      <c r="C72" s="257">
        <f>GETPIVOTDATA("Sum of New G E-Learning",'Pivot Table for Fact Book'!$A$3,"State","GA","type",1,"Type2","Four-Year")</f>
        <v>30097</v>
      </c>
      <c r="D72" s="256">
        <f>GETPIVOTDATA("Sum of Old G E-Learning",'Pivot Table for Fact Book'!$A$3,"State","GA","type",2,"Type2","Four-Year")</f>
        <v>56925</v>
      </c>
      <c r="E72" s="257">
        <f>GETPIVOTDATA("Sum of New G E-Learning",'Pivot Table for Fact Book'!$A$3,"State","GA","type",2,"Type2","Four-Year")</f>
        <v>87090</v>
      </c>
      <c r="F72" s="256">
        <f>GETPIVOTDATA("Sum of Old G E-Learning",'Pivot Table for Fact Book'!$A$3,"State","GA","type",3,"Type2","Four-Year")</f>
        <v>121482</v>
      </c>
      <c r="G72" s="257">
        <f>GETPIVOTDATA("Sum of New G E-Learning",'Pivot Table for Fact Book'!$A$3,"State","GA","type",3,"Type2","Four-Year")</f>
        <v>135228</v>
      </c>
      <c r="H72" s="256">
        <f>GETPIVOTDATA("Sum of Old G E-Learning",'Pivot Table for Fact Book'!$A$3,"State","GA","type",4,"Type2","Four-Year")</f>
        <v>62374</v>
      </c>
      <c r="I72" s="257">
        <f>GETPIVOTDATA("Sum of New G E-Learning",'Pivot Table for Fact Book'!$A$3,"State","GA","type",4,"Type2","Four-Year")</f>
        <v>61041</v>
      </c>
      <c r="J72" s="256">
        <f>GETPIVOTDATA("Sum of Old G E-Learning",'Pivot Table for Fact Book'!$A$3,"State","GA","type",5,"Type2","Four-Year")</f>
        <v>900</v>
      </c>
      <c r="K72" s="257">
        <f>GETPIVOTDATA("Sum of New G E-Learning",'Pivot Table for Fact Book'!$A$3,"State","GA","type",5,"Type2","Four-Year")</f>
        <v>837</v>
      </c>
      <c r="L72" s="256">
        <f>GETPIVOTDATA("Sum of Old G E-Learning",'Pivot Table for Fact Book'!$A$3,"State","GA","type",6,"Type2","Four-Year")</f>
        <v>1763</v>
      </c>
      <c r="M72" s="257">
        <f>GETPIVOTDATA("Sum of New G E-Learning",'Pivot Table for Fact Book'!$A$3,"State","GA","type",6,"Type2","Four-Year")</f>
        <v>3210</v>
      </c>
      <c r="N72" s="256">
        <f>GETPIVOTDATA("Sum of Old G E-Learning",'Pivot Table for Fact Book'!$A$3,"State","GA","type",15,"Type2","Four-Year")</f>
        <v>0</v>
      </c>
      <c r="O72" s="257">
        <f>GETPIVOTDATA("Sum of New G E-Learning",'Pivot Table for Fact Book'!$A$3,"State","GA","type",15,"Type2","Four-Year")</f>
        <v>0</v>
      </c>
      <c r="P72" s="258">
        <f>GETPIVOTDATA("Sum of Old G E-Learning",'Pivot Table for Fact Book'!$A$3,"State","GA","Type2","Four-Year")</f>
        <v>269145</v>
      </c>
      <c r="Q72" s="258">
        <f>GETPIVOTDATA("Sum of New G E-Learning",'Pivot Table for Fact Book'!$A$3,"State","GA","Type2","Four-Year")</f>
        <v>317503</v>
      </c>
    </row>
    <row r="73" spans="1:17">
      <c r="A73" s="269" t="s">
        <v>830</v>
      </c>
      <c r="B73" s="256">
        <f>GETPIVOTDATA("Sum of Old G E-Learning",'Pivot Table for Fact Book'!$A$3,"State","KY","type",1,"Type2","Four-Year")</f>
        <v>34381</v>
      </c>
      <c r="C73" s="257">
        <f>GETPIVOTDATA("Sum of New G E-Learning",'Pivot Table for Fact Book'!$A$3,"State","KY","type",1,"Type2","Four-Year")</f>
        <v>38829</v>
      </c>
      <c r="D73" s="256">
        <f>GETPIVOTDATA("Sum of Old G E-Learning",'Pivot Table for Fact Book'!$A$3,"State","KY","type",2,"Type2","Four-Year")</f>
        <v>0</v>
      </c>
      <c r="E73" s="257">
        <f>GETPIVOTDATA("Sum of New G E-Learning",'Pivot Table for Fact Book'!$A$3,"State","KY","type",2,"Type2","Four-Year")</f>
        <v>0</v>
      </c>
      <c r="F73" s="256">
        <f>GETPIVOTDATA("Sum of Old G E-Learning",'Pivot Table for Fact Book'!$A$3,"State","KY","type",3,"Type2","Four-Year")</f>
        <v>79746</v>
      </c>
      <c r="G73" s="257">
        <f>GETPIVOTDATA("Sum of New G E-Learning",'Pivot Table for Fact Book'!$A$3,"State","KY","type",3,"Type2","Four-Year")</f>
        <v>83918</v>
      </c>
      <c r="H73" s="256">
        <f>GETPIVOTDATA("Sum of Old G E-Learning",'Pivot Table for Fact Book'!$A$3,"State","KY","type",4,"Type2","Four-Year")</f>
        <v>463</v>
      </c>
      <c r="I73" s="257">
        <f>GETPIVOTDATA("Sum of New G E-Learning",'Pivot Table for Fact Book'!$A$3,"State","KY","type",4,"Type2","Four-Year")</f>
        <v>390</v>
      </c>
      <c r="J73" s="256">
        <f>GETPIVOTDATA("Sum of Old G E-Learning",'Pivot Table for Fact Book'!$A$3,"State","KY","type",5,"Type2","Four-Year")</f>
        <v>0</v>
      </c>
      <c r="K73" s="257">
        <f>GETPIVOTDATA("Sum of New G E-Learning",'Pivot Table for Fact Book'!$A$3,"State","KY","type",5,"Type2","Four-Year")</f>
        <v>0</v>
      </c>
      <c r="L73" s="256">
        <f>GETPIVOTDATA("Sum of Old G E-Learning",'Pivot Table for Fact Book'!$A$3,"State","KY","type",6,"Type2","Four-Year")</f>
        <v>0</v>
      </c>
      <c r="M73" s="257">
        <f>GETPIVOTDATA("Sum of New G E-Learning",'Pivot Table for Fact Book'!$A$3,"State","KY","type",6,"Type2","Four-Year")</f>
        <v>0</v>
      </c>
      <c r="N73" s="256">
        <f>GETPIVOTDATA("Sum of Old G E-Learning",'Pivot Table for Fact Book'!$A$3,"State","KY","type",15,"Type2","Four-Year")</f>
        <v>0</v>
      </c>
      <c r="O73" s="257">
        <f>GETPIVOTDATA("Sum of New G E-Learning",'Pivot Table for Fact Book'!$A$3,"State","KY","type",15,"Type2","Four-Year")</f>
        <v>0</v>
      </c>
      <c r="P73" s="258">
        <f>GETPIVOTDATA("Sum of Old G E-Learning",'Pivot Table for Fact Book'!$A$3,"State","KY","Type2","Four-Year")</f>
        <v>114590</v>
      </c>
      <c r="Q73" s="258">
        <f>GETPIVOTDATA("Sum of New G E-Learning",'Pivot Table for Fact Book'!$A$3,"State","KY","Type2","Four-Year")</f>
        <v>123137</v>
      </c>
    </row>
    <row r="74" spans="1:17">
      <c r="A74" s="269" t="s">
        <v>831</v>
      </c>
      <c r="B74" s="256">
        <f>GETPIVOTDATA("Sum of Old G E-Learning",'Pivot Table for Fact Book'!$A$3,"State","LA","type",1,"Type2","Four-Year")</f>
        <v>5784.9334241775396</v>
      </c>
      <c r="C74" s="257">
        <f>GETPIVOTDATA("Sum of New G E-Learning",'Pivot Table for Fact Book'!$A$3,"State","LA","type",1,"Type2","Four-Year")</f>
        <v>8064.9970708845904</v>
      </c>
      <c r="D74" s="256">
        <f>GETPIVOTDATA("Sum of Old G E-Learning",'Pivot Table for Fact Book'!$A$3,"State","LA","type",2,"Type2","Four-Year")</f>
        <v>12530.648206970331</v>
      </c>
      <c r="E74" s="257">
        <f>GETPIVOTDATA("Sum of New G E-Learning",'Pivot Table for Fact Book'!$A$3,"State","LA","type",2,"Type2","Four-Year")</f>
        <v>13916.998361045331</v>
      </c>
      <c r="F74" s="256">
        <f>GETPIVOTDATA("Sum of Old G E-Learning",'Pivot Table for Fact Book'!$A$3,"State","LA","type",3,"Type2","Four-Year")</f>
        <v>30440.624580015541</v>
      </c>
      <c r="G74" s="257">
        <f>GETPIVOTDATA("Sum of New G E-Learning",'Pivot Table for Fact Book'!$A$3,"State","LA","type",3,"Type2","Four-Year")</f>
        <v>32347.08339375833</v>
      </c>
      <c r="H74" s="256">
        <f>GETPIVOTDATA("Sum of Old G E-Learning",'Pivot Table for Fact Book'!$A$3,"State","LA","type",4,"Type2","Four-Year")</f>
        <v>51785.834989833449</v>
      </c>
      <c r="I74" s="257">
        <f>GETPIVOTDATA("Sum of New G E-Learning",'Pivot Table for Fact Book'!$A$3,"State","LA","type",4,"Type2","Four-Year")</f>
        <v>63984.011587648456</v>
      </c>
      <c r="J74" s="256">
        <f>GETPIVOTDATA("Sum of Old G E-Learning",'Pivot Table for Fact Book'!$A$3,"State","LA","type",5,"Type2","Four-Year")</f>
        <v>1327.5</v>
      </c>
      <c r="K74" s="257">
        <f>GETPIVOTDATA("Sum of New G E-Learning",'Pivot Table for Fact Book'!$A$3,"State","LA","type",5,"Type2","Four-Year")</f>
        <v>1267.5258620689699</v>
      </c>
      <c r="L74" s="256">
        <f>GETPIVOTDATA("Sum of Old G E-Learning",'Pivot Table for Fact Book'!$A$3,"State","LA","type",6,"Type2","Four-Year")</f>
        <v>0</v>
      </c>
      <c r="M74" s="257">
        <f>GETPIVOTDATA("Sum of New G E-Learning",'Pivot Table for Fact Book'!$A$3,"State","LA","type",6,"Type2","Four-Year")</f>
        <v>0</v>
      </c>
      <c r="N74" s="256">
        <f>GETPIVOTDATA("Sum of Old G E-Learning",'Pivot Table for Fact Book'!$A$3,"State","LA","type",15,"Type2","Four-Year")</f>
        <v>0</v>
      </c>
      <c r="O74" s="257">
        <f>GETPIVOTDATA("Sum of New G E-Learning",'Pivot Table for Fact Book'!$A$3,"State","LA","type",15,"Type2","Four-Year")</f>
        <v>0</v>
      </c>
      <c r="P74" s="258">
        <f>GETPIVOTDATA("Sum of Old G E-Learning",'Pivot Table for Fact Book'!$A$3,"State","LA","Type2","Four-Year")</f>
        <v>101869.54120099686</v>
      </c>
      <c r="Q74" s="258">
        <f>GETPIVOTDATA("Sum of New G E-Learning",'Pivot Table for Fact Book'!$A$3,"State","LA","Type2","Four-Year")</f>
        <v>119580.61627540569</v>
      </c>
    </row>
    <row r="75" spans="1:17">
      <c r="A75" s="269" t="s">
        <v>832</v>
      </c>
      <c r="B75" s="256">
        <f>GETPIVOTDATA("Sum of Old G E-Learning",'Pivot Table for Fact Book'!$A$3,"State","MD","type",1,"Type2","Four-Year")</f>
        <v>15852</v>
      </c>
      <c r="C75" s="257">
        <f>GETPIVOTDATA("Sum of New G E-Learning",'Pivot Table for Fact Book'!$A$3,"State","MD","type",1,"Type2","Four-Year")</f>
        <v>19734</v>
      </c>
      <c r="D75" s="256">
        <f>GETPIVOTDATA("Sum of Old G E-Learning",'Pivot Table for Fact Book'!$A$3,"State","MD","type",2,"Type2","Four-Year")</f>
        <v>12780</v>
      </c>
      <c r="E75" s="257">
        <f>GETPIVOTDATA("Sum of New G E-Learning",'Pivot Table for Fact Book'!$A$3,"State","MD","type",2,"Type2","Four-Year")</f>
        <v>12853</v>
      </c>
      <c r="F75" s="256">
        <f>GETPIVOTDATA("Sum of Old G E-Learning",'Pivot Table for Fact Book'!$A$3,"State","MD","type",3,"Type2","Four-Year")</f>
        <v>20633</v>
      </c>
      <c r="G75" s="257">
        <f>GETPIVOTDATA("Sum of New G E-Learning",'Pivot Table for Fact Book'!$A$3,"State","MD","type",3,"Type2","Four-Year")</f>
        <v>13229</v>
      </c>
      <c r="H75" s="256">
        <f>GETPIVOTDATA("Sum of Old G E-Learning",'Pivot Table for Fact Book'!$A$3,"State","MD","type",4,"Type2","Four-Year")</f>
        <v>20734</v>
      </c>
      <c r="I75" s="257">
        <f>GETPIVOTDATA("Sum of New G E-Learning",'Pivot Table for Fact Book'!$A$3,"State","MD","type",4,"Type2","Four-Year")</f>
        <v>29617</v>
      </c>
      <c r="J75" s="256">
        <f>GETPIVOTDATA("Sum of Old G E-Learning",'Pivot Table for Fact Book'!$A$3,"State","MD","type",5,"Type2","Four-Year")</f>
        <v>641</v>
      </c>
      <c r="K75" s="257">
        <f>GETPIVOTDATA("Sum of New G E-Learning",'Pivot Table for Fact Book'!$A$3,"State","MD","type",5,"Type2","Four-Year")</f>
        <v>676</v>
      </c>
      <c r="L75" s="256">
        <f>GETPIVOTDATA("Sum of Old G E-Learning",'Pivot Table for Fact Book'!$A$3,"State","MD","type",6,"Type2","Four-Year")</f>
        <v>0</v>
      </c>
      <c r="M75" s="257">
        <f>GETPIVOTDATA("Sum of New G E-Learning",'Pivot Table for Fact Book'!$A$3,"State","MD","type",6,"Type2","Four-Year")</f>
        <v>0</v>
      </c>
      <c r="N75" s="256">
        <f>GETPIVOTDATA("Sum of Old G E-Learning",'Pivot Table for Fact Book'!$A$3,"State","MD","type",15,"Type2","Four-Year")</f>
        <v>220645</v>
      </c>
      <c r="O75" s="257">
        <f>GETPIVOTDATA("Sum of New G E-Learning",'Pivot Table for Fact Book'!$A$3,"State","MD","type",15,"Type2","Four-Year")</f>
        <v>225203</v>
      </c>
      <c r="P75" s="258">
        <f>GETPIVOTDATA("Sum of Old G E-Learning",'Pivot Table for Fact Book'!$A$3,"State","MD","Type2","Four-Year")</f>
        <v>291285</v>
      </c>
      <c r="Q75" s="258">
        <f>GETPIVOTDATA("Sum of New G E-Learning",'Pivot Table for Fact Book'!$A$3,"State","MD","Type2","Four-Year")</f>
        <v>301312</v>
      </c>
    </row>
    <row r="76" spans="1:17">
      <c r="A76" s="269" t="s">
        <v>833</v>
      </c>
      <c r="B76" s="256">
        <f>GETPIVOTDATA("Sum of Old G E-Learning",'Pivot Table for Fact Book'!$A$3,"State","MS","type",1,"Type2","Four-Year")</f>
        <v>39413</v>
      </c>
      <c r="C76" s="257">
        <f>GETPIVOTDATA("Sum of New G E-Learning",'Pivot Table for Fact Book'!$A$3,"State","MS","type",1,"Type2","Four-Year")</f>
        <v>41866</v>
      </c>
      <c r="D76" s="256">
        <f>GETPIVOTDATA("Sum of Old G E-Learning",'Pivot Table for Fact Book'!$A$3,"State","MS","type",2,"Type2","Four-Year")</f>
        <v>14117</v>
      </c>
      <c r="E76" s="257">
        <f>GETPIVOTDATA("Sum of New G E-Learning",'Pivot Table for Fact Book'!$A$3,"State","MS","type",2,"Type2","Four-Year")</f>
        <v>14173</v>
      </c>
      <c r="F76" s="256">
        <f>GETPIVOTDATA("Sum of Old G E-Learning",'Pivot Table for Fact Book'!$A$3,"State","MS","type",3,"Type2","Four-Year")</f>
        <v>0</v>
      </c>
      <c r="G76" s="257">
        <f>GETPIVOTDATA("Sum of New G E-Learning",'Pivot Table for Fact Book'!$A$3,"State","MS","type",3,"Type2","Four-Year")</f>
        <v>0</v>
      </c>
      <c r="H76" s="256">
        <f>GETPIVOTDATA("Sum of Old G E-Learning",'Pivot Table for Fact Book'!$A$3,"State","MS","type",4,"Type2","Four-Year")</f>
        <v>30658</v>
      </c>
      <c r="I76" s="257">
        <f>GETPIVOTDATA("Sum of New G E-Learning",'Pivot Table for Fact Book'!$A$3,"State","MS","type",4,"Type2","Four-Year")</f>
        <v>28299</v>
      </c>
      <c r="J76" s="256">
        <f>GETPIVOTDATA("Sum of Old G E-Learning",'Pivot Table for Fact Book'!$A$3,"State","MS","type",5,"Type2","Four-Year")</f>
        <v>1585</v>
      </c>
      <c r="K76" s="257">
        <f>GETPIVOTDATA("Sum of New G E-Learning",'Pivot Table for Fact Book'!$A$3,"State","MS","type",5,"Type2","Four-Year")</f>
        <v>1700</v>
      </c>
      <c r="L76" s="256">
        <f>GETPIVOTDATA("Sum of Old G E-Learning",'Pivot Table for Fact Book'!$A$3,"State","MS","type",6,"Type2","Four-Year")</f>
        <v>0</v>
      </c>
      <c r="M76" s="257">
        <f>GETPIVOTDATA("Sum of New G E-Learning",'Pivot Table for Fact Book'!$A$3,"State","MS","type",6,"Type2","Four-Year")</f>
        <v>0</v>
      </c>
      <c r="N76" s="256">
        <f>GETPIVOTDATA("Sum of Old G E-Learning",'Pivot Table for Fact Book'!$A$3,"State","MS","type",15,"Type2","Four-Year")</f>
        <v>0</v>
      </c>
      <c r="O76" s="257">
        <f>GETPIVOTDATA("Sum of New G E-Learning",'Pivot Table for Fact Book'!$A$3,"State","MS","type",15,"Type2","Four-Year")</f>
        <v>0</v>
      </c>
      <c r="P76" s="258">
        <f>GETPIVOTDATA("Sum of Old G E-Learning",'Pivot Table for Fact Book'!$A$3,"State","MS","Type2","Four-Year")</f>
        <v>85773</v>
      </c>
      <c r="Q76" s="258">
        <f>GETPIVOTDATA("Sum of New G E-Learning",'Pivot Table for Fact Book'!$A$3,"State","MS","Type2","Four-Year")</f>
        <v>86038</v>
      </c>
    </row>
    <row r="77" spans="1:17">
      <c r="A77" s="269" t="s">
        <v>834</v>
      </c>
      <c r="B77" s="256">
        <f>GETPIVOTDATA("Sum of Old G E-Learning",'Pivot Table for Fact Book'!$A$3,"State","NC","type",1,"Type2","Four-Year")</f>
        <v>91715</v>
      </c>
      <c r="C77" s="257">
        <f>GETPIVOTDATA("Sum of New G E-Learning",'Pivot Table for Fact Book'!$A$3,"State","NC","type",1,"Type2","Four-Year")</f>
        <v>97378</v>
      </c>
      <c r="D77" s="256">
        <f>GETPIVOTDATA("Sum of Old G E-Learning",'Pivot Table for Fact Book'!$A$3,"State","NC","type",2,"Type2","Four-Year")</f>
        <v>44994</v>
      </c>
      <c r="E77" s="257">
        <f>GETPIVOTDATA("Sum of New G E-Learning",'Pivot Table for Fact Book'!$A$3,"State","NC","type",2,"Type2","Four-Year")</f>
        <v>55009</v>
      </c>
      <c r="F77" s="256">
        <f>GETPIVOTDATA("Sum of Old G E-Learning",'Pivot Table for Fact Book'!$A$3,"State","NC","type",3,"Type2","Four-Year")</f>
        <v>55527</v>
      </c>
      <c r="G77" s="257">
        <f>GETPIVOTDATA("Sum of New G E-Learning",'Pivot Table for Fact Book'!$A$3,"State","NC","type",3,"Type2","Four-Year")</f>
        <v>61740</v>
      </c>
      <c r="H77" s="256">
        <f>GETPIVOTDATA("Sum of Old G E-Learning",'Pivot Table for Fact Book'!$A$3,"State","NC","type",4,"Type2","Four-Year")</f>
        <v>7852</v>
      </c>
      <c r="I77" s="257">
        <f>GETPIVOTDATA("Sum of New G E-Learning",'Pivot Table for Fact Book'!$A$3,"State","NC","type",4,"Type2","Four-Year")</f>
        <v>9333</v>
      </c>
      <c r="J77" s="256">
        <f>GETPIVOTDATA("Sum of Old G E-Learning",'Pivot Table for Fact Book'!$A$3,"State","NC","type",5,"Type2","Four-Year")</f>
        <v>9802</v>
      </c>
      <c r="K77" s="257">
        <f>GETPIVOTDATA("Sum of New G E-Learning",'Pivot Table for Fact Book'!$A$3,"State","NC","type",5,"Type2","Four-Year")</f>
        <v>14034</v>
      </c>
      <c r="L77" s="256">
        <f>GETPIVOTDATA("Sum of Old G E-Learning",'Pivot Table for Fact Book'!$A$3,"State","NC","type",6,"Type2","Four-Year")</f>
        <v>120</v>
      </c>
      <c r="M77" s="257">
        <f>GETPIVOTDATA("Sum of New G E-Learning",'Pivot Table for Fact Book'!$A$3,"State","NC","type",6,"Type2","Four-Year")</f>
        <v>144</v>
      </c>
      <c r="N77" s="256">
        <f>GETPIVOTDATA("Sum of Old G E-Learning",'Pivot Table for Fact Book'!$A$3,"State","NC","type",15,"Type2","Four-Year")</f>
        <v>0</v>
      </c>
      <c r="O77" s="257">
        <f>GETPIVOTDATA("Sum of New G E-Learning",'Pivot Table for Fact Book'!$A$3,"State","NC","type",15,"Type2","Four-Year")</f>
        <v>0</v>
      </c>
      <c r="P77" s="258">
        <f>GETPIVOTDATA("Sum of Old G E-Learning",'Pivot Table for Fact Book'!$A$3,"State","NC","Type2","Four-Year")</f>
        <v>210010</v>
      </c>
      <c r="Q77" s="258">
        <f>GETPIVOTDATA("Sum of New G E-Learning",'Pivot Table for Fact Book'!$A$3,"State","NC","Type2","Four-Year")</f>
        <v>237638</v>
      </c>
    </row>
    <row r="78" spans="1:17">
      <c r="A78" s="269" t="s">
        <v>835</v>
      </c>
      <c r="B78" s="256">
        <f>GETPIVOTDATA("Sum of Old G E-Learning",'Pivot Table for Fact Book'!$A$3,"State","OK","type",1,"Type2","Four-Year")</f>
        <v>45051</v>
      </c>
      <c r="C78" s="257">
        <f>GETPIVOTDATA("Sum of New G E-Learning",'Pivot Table for Fact Book'!$A$3,"State","OK","type",1,"Type2","Four-Year")</f>
        <v>46366</v>
      </c>
      <c r="D78" s="256">
        <f>GETPIVOTDATA("Sum of Old G E-Learning",'Pivot Table for Fact Book'!$A$3,"State","OK","type",2,"Type2","Four-Year")</f>
        <v>0</v>
      </c>
      <c r="E78" s="257">
        <f>GETPIVOTDATA("Sum of New G E-Learning",'Pivot Table for Fact Book'!$A$3,"State","OK","type",2,"Type2","Four-Year")</f>
        <v>0</v>
      </c>
      <c r="F78" s="256">
        <f>GETPIVOTDATA("Sum of Old G E-Learning",'Pivot Table for Fact Book'!$A$3,"State","OK","type",3,"Type2","Four-Year")</f>
        <v>9407</v>
      </c>
      <c r="G78" s="257">
        <f>GETPIVOTDATA("Sum of New G E-Learning",'Pivot Table for Fact Book'!$A$3,"State","OK","type",3,"Type2","Four-Year")</f>
        <v>10327</v>
      </c>
      <c r="H78" s="256">
        <f>GETPIVOTDATA("Sum of Old G E-Learning",'Pivot Table for Fact Book'!$A$3,"State","OK","type",4,"Type2","Four-Year")</f>
        <v>16812</v>
      </c>
      <c r="I78" s="257">
        <f>GETPIVOTDATA("Sum of New G E-Learning",'Pivot Table for Fact Book'!$A$3,"State","OK","type",4,"Type2","Four-Year")</f>
        <v>27847</v>
      </c>
      <c r="J78" s="256">
        <f>GETPIVOTDATA("Sum of Old G E-Learning",'Pivot Table for Fact Book'!$A$3,"State","OK","type",5,"Type2","Four-Year")</f>
        <v>13243</v>
      </c>
      <c r="K78" s="257">
        <f>GETPIVOTDATA("Sum of New G E-Learning",'Pivot Table for Fact Book'!$A$3,"State","OK","type",5,"Type2","Four-Year")</f>
        <v>14076</v>
      </c>
      <c r="L78" s="256">
        <f>GETPIVOTDATA("Sum of Old G E-Learning",'Pivot Table for Fact Book'!$A$3,"State","OK","type",6,"Type2","Four-Year")</f>
        <v>45</v>
      </c>
      <c r="M78" s="257">
        <f>GETPIVOTDATA("Sum of New G E-Learning",'Pivot Table for Fact Book'!$A$3,"State","OK","type",6,"Type2","Four-Year")</f>
        <v>24</v>
      </c>
      <c r="N78" s="256">
        <f>GETPIVOTDATA("Sum of Old G E-Learning",'Pivot Table for Fact Book'!$A$3,"State","OK","type",15,"Type2","Four-Year")</f>
        <v>0</v>
      </c>
      <c r="O78" s="257">
        <f>GETPIVOTDATA("Sum of New G E-Learning",'Pivot Table for Fact Book'!$A$3,"State","OK","type",15,"Type2","Four-Year")</f>
        <v>0</v>
      </c>
      <c r="P78" s="258">
        <f>GETPIVOTDATA("Sum of Old G E-Learning",'Pivot Table for Fact Book'!$A$3,"State","OK","Type2","Four-Year")</f>
        <v>84558</v>
      </c>
      <c r="Q78" s="258">
        <f>GETPIVOTDATA("Sum of New G E-Learning",'Pivot Table for Fact Book'!$A$3,"State","OK","Type2","Four-Year")</f>
        <v>98640</v>
      </c>
    </row>
    <row r="79" spans="1:17">
      <c r="A79" s="269" t="s">
        <v>836</v>
      </c>
      <c r="B79" s="256">
        <f>GETPIVOTDATA("Sum of Old G E-Learning",'Pivot Table for Fact Book'!$A$3,"State","SC","type",1,"Type2","Four-Year")</f>
        <v>57569</v>
      </c>
      <c r="C79" s="257">
        <f>GETPIVOTDATA("Sum of New G E-Learning",'Pivot Table for Fact Book'!$A$3,"State","SC","type",1,"Type2","Four-Year")</f>
        <v>63064</v>
      </c>
      <c r="D79" s="256">
        <f>GETPIVOTDATA("Sum of Old G E-Learning",'Pivot Table for Fact Book'!$A$3,"State","SC","type",2,"Type2","Four-Year")</f>
        <v>0</v>
      </c>
      <c r="E79" s="257">
        <f>GETPIVOTDATA("Sum of New G E-Learning",'Pivot Table for Fact Book'!$A$3,"State","SC","type",2,"Type2","Four-Year")</f>
        <v>0</v>
      </c>
      <c r="F79" s="256">
        <f>GETPIVOTDATA("Sum of Old G E-Learning",'Pivot Table for Fact Book'!$A$3,"State","SC","type",3,"Type2","Four-Year")</f>
        <v>11294</v>
      </c>
      <c r="G79" s="257">
        <f>GETPIVOTDATA("Sum of New G E-Learning",'Pivot Table for Fact Book'!$A$3,"State","SC","type",3,"Type2","Four-Year")</f>
        <v>13998</v>
      </c>
      <c r="H79" s="256">
        <f>GETPIVOTDATA("Sum of Old G E-Learning",'Pivot Table for Fact Book'!$A$3,"State","SC","type",4,"Type2","Four-Year")</f>
        <v>7558</v>
      </c>
      <c r="I79" s="257">
        <f>GETPIVOTDATA("Sum of New G E-Learning",'Pivot Table for Fact Book'!$A$3,"State","SC","type",4,"Type2","Four-Year")</f>
        <v>7065</v>
      </c>
      <c r="J79" s="256">
        <f>GETPIVOTDATA("Sum of Old G E-Learning",'Pivot Table for Fact Book'!$A$3,"State","SC","type",5,"Type2","Four-Year")</f>
        <v>2679</v>
      </c>
      <c r="K79" s="257">
        <f>GETPIVOTDATA("Sum of New G E-Learning",'Pivot Table for Fact Book'!$A$3,"State","SC","type",5,"Type2","Four-Year")</f>
        <v>3334</v>
      </c>
      <c r="L79" s="256">
        <f>GETPIVOTDATA("Sum of Old G E-Learning",'Pivot Table for Fact Book'!$A$3,"State","SC","type",6,"Type2","Four-Year")</f>
        <v>4236</v>
      </c>
      <c r="M79" s="257">
        <f>GETPIVOTDATA("Sum of New G E-Learning",'Pivot Table for Fact Book'!$A$3,"State","SC","type",6,"Type2","Four-Year")</f>
        <v>3621</v>
      </c>
      <c r="N79" s="256">
        <f>GETPIVOTDATA("Sum of Old G E-Learning",'Pivot Table for Fact Book'!$A$3,"State","SC","type",15,"Type2","Four-Year")</f>
        <v>0</v>
      </c>
      <c r="O79" s="257">
        <f>GETPIVOTDATA("Sum of New G E-Learning",'Pivot Table for Fact Book'!$A$3,"State","SC","type",15,"Type2","Four-Year")</f>
        <v>0</v>
      </c>
      <c r="P79" s="258">
        <f>GETPIVOTDATA("Sum of Old G E-Learning",'Pivot Table for Fact Book'!$A$3,"State","SC","Type2","Four-Year")</f>
        <v>83336</v>
      </c>
      <c r="Q79" s="258">
        <f>GETPIVOTDATA("Sum of New G E-Learning",'Pivot Table for Fact Book'!$A$3,"State","SC","Type2","Four-Year")</f>
        <v>91082</v>
      </c>
    </row>
    <row r="80" spans="1:17">
      <c r="A80" s="269" t="s">
        <v>837</v>
      </c>
      <c r="B80" s="256">
        <f>GETPIVOTDATA("Sum of Old G E-Learning",'Pivot Table for Fact Book'!$A$3,"State","TN","type",1,"Type2","Four-Year")</f>
        <v>38360</v>
      </c>
      <c r="C80" s="257">
        <f>GETPIVOTDATA("Sum of New G E-Learning",'Pivot Table for Fact Book'!$A$3,"State","TN","type",1,"Type2","Four-Year")</f>
        <v>41606</v>
      </c>
      <c r="D80" s="256">
        <f>GETPIVOTDATA("Sum of Old G E-Learning",'Pivot Table for Fact Book'!$A$3,"State","TN","type",2,"Type2","Four-Year")</f>
        <v>37947</v>
      </c>
      <c r="E80" s="257">
        <f>GETPIVOTDATA("Sum of New G E-Learning",'Pivot Table for Fact Book'!$A$3,"State","TN","type",2,"Type2","Four-Year")</f>
        <v>41013</v>
      </c>
      <c r="F80" s="256">
        <f>GETPIVOTDATA("Sum of Old G E-Learning",'Pivot Table for Fact Book'!$A$3,"State","TN","type",3,"Type2","Four-Year")</f>
        <v>30054</v>
      </c>
      <c r="G80" s="257">
        <f>GETPIVOTDATA("Sum of New G E-Learning",'Pivot Table for Fact Book'!$A$3,"State","TN","type",3,"Type2","Four-Year")</f>
        <v>33686</v>
      </c>
      <c r="H80" s="256">
        <f>GETPIVOTDATA("Sum of Old G E-Learning",'Pivot Table for Fact Book'!$A$3,"State","TN","type",4,"Type2","Four-Year")</f>
        <v>0</v>
      </c>
      <c r="I80" s="257">
        <f>GETPIVOTDATA("Sum of New G E-Learning",'Pivot Table for Fact Book'!$A$3,"State","TN","type",4,"Type2","Four-Year")</f>
        <v>0</v>
      </c>
      <c r="J80" s="256">
        <f>GETPIVOTDATA("Sum of Old G E-Learning",'Pivot Table for Fact Book'!$A$3,"State","TN","type",5,"Type2","Four-Year")</f>
        <v>5877</v>
      </c>
      <c r="K80" s="257">
        <f>GETPIVOTDATA("Sum of New G E-Learning",'Pivot Table for Fact Book'!$A$3,"State","TN","type",5,"Type2","Four-Year")</f>
        <v>4778</v>
      </c>
      <c r="L80" s="256">
        <f>GETPIVOTDATA("Sum of Old G E-Learning",'Pivot Table for Fact Book'!$A$3,"State","TN","type",6,"Type2","Four-Year")</f>
        <v>0</v>
      </c>
      <c r="M80" s="257">
        <f>GETPIVOTDATA("Sum of New G E-Learning",'Pivot Table for Fact Book'!$A$3,"State","TN","type",6,"Type2","Four-Year")</f>
        <v>0</v>
      </c>
      <c r="N80" s="256">
        <f>GETPIVOTDATA("Sum of Old G E-Learning",'Pivot Table for Fact Book'!$A$3,"State","TN","type",15,"Type2","Four-Year")</f>
        <v>0</v>
      </c>
      <c r="O80" s="257">
        <f>GETPIVOTDATA("Sum of New G E-Learning",'Pivot Table for Fact Book'!$A$3,"State","TN","type",15,"Type2","Four-Year")</f>
        <v>0</v>
      </c>
      <c r="P80" s="258">
        <f>GETPIVOTDATA("Sum of Old G E-Learning",'Pivot Table for Fact Book'!$A$3,"State","TN","Type2","Four-Year")</f>
        <v>112238</v>
      </c>
      <c r="Q80" s="258">
        <f>GETPIVOTDATA("Sum of New G E-Learning",'Pivot Table for Fact Book'!$A$3,"State","TN","Type2","Four-Year")</f>
        <v>121083</v>
      </c>
    </row>
    <row r="81" spans="1:17">
      <c r="A81" s="269" t="s">
        <v>838</v>
      </c>
      <c r="B81" s="256">
        <f>GETPIVOTDATA("Sum of Old G E-Learning",'Pivot Table for Fact Book'!$A$3,"State","TX","type",1,"Type2","Four-Year")</f>
        <v>268632</v>
      </c>
      <c r="C81" s="257">
        <f>GETPIVOTDATA("Sum of New G E-Learning",'Pivot Table for Fact Book'!$A$3,"State","TX","type",1,"Type2","Four-Year")</f>
        <v>284525</v>
      </c>
      <c r="D81" s="256">
        <f>GETPIVOTDATA("Sum of Old G E-Learning",'Pivot Table for Fact Book'!$A$3,"State","TX","type",2,"Type2","Four-Year")</f>
        <v>84347</v>
      </c>
      <c r="E81" s="257">
        <f>GETPIVOTDATA("Sum of New G E-Learning",'Pivot Table for Fact Book'!$A$3,"State","TX","type",2,"Type2","Four-Year")</f>
        <v>86446</v>
      </c>
      <c r="F81" s="256">
        <f>GETPIVOTDATA("Sum of Old G E-Learning",'Pivot Table for Fact Book'!$A$3,"State","TX","type",3,"Type2","Four-Year")</f>
        <v>424867</v>
      </c>
      <c r="G81" s="257">
        <f>GETPIVOTDATA("Sum of New G E-Learning",'Pivot Table for Fact Book'!$A$3,"State","TX","type",3,"Type2","Four-Year")</f>
        <v>433005</v>
      </c>
      <c r="H81" s="256">
        <f>GETPIVOTDATA("Sum of Old G E-Learning",'Pivot Table for Fact Book'!$A$3,"State","TX","type",4,"Type2","Four-Year")</f>
        <v>24747</v>
      </c>
      <c r="I81" s="257">
        <f>GETPIVOTDATA("Sum of New G E-Learning",'Pivot Table for Fact Book'!$A$3,"State","TX","type",4,"Type2","Four-Year")</f>
        <v>24728</v>
      </c>
      <c r="J81" s="256">
        <f>GETPIVOTDATA("Sum of Old G E-Learning",'Pivot Table for Fact Book'!$A$3,"State","TX","type",5,"Type2","Four-Year")</f>
        <v>36271</v>
      </c>
      <c r="K81" s="257">
        <f>GETPIVOTDATA("Sum of New G E-Learning",'Pivot Table for Fact Book'!$A$3,"State","TX","type",5,"Type2","Four-Year")</f>
        <v>38720</v>
      </c>
      <c r="L81" s="256">
        <f>GETPIVOTDATA("Sum of Old G E-Learning",'Pivot Table for Fact Book'!$A$3,"State","TX","type",6,"Type2","Four-Year")</f>
        <v>0</v>
      </c>
      <c r="M81" s="257">
        <f>GETPIVOTDATA("Sum of New G E-Learning",'Pivot Table for Fact Book'!$A$3,"State","TX","type",6,"Type2","Four-Year")</f>
        <v>0</v>
      </c>
      <c r="N81" s="256">
        <f>GETPIVOTDATA("Sum of Old G E-Learning",'Pivot Table for Fact Book'!$A$3,"State","TX","type",15,"Type2","Four-Year")</f>
        <v>0</v>
      </c>
      <c r="O81" s="257">
        <f>GETPIVOTDATA("Sum of New G E-Learning",'Pivot Table for Fact Book'!$A$3,"State","TX","type",15,"Type2","Four-Year")</f>
        <v>0</v>
      </c>
      <c r="P81" s="258">
        <f>GETPIVOTDATA("Sum of Old G E-Learning",'Pivot Table for Fact Book'!$A$3,"State","TX","Type2","Four-Year")</f>
        <v>838864</v>
      </c>
      <c r="Q81" s="258">
        <f>GETPIVOTDATA("Sum of New G E-Learning",'Pivot Table for Fact Book'!$A$3,"State","TX","Type2","Four-Year")</f>
        <v>867424</v>
      </c>
    </row>
    <row r="82" spans="1:17">
      <c r="A82" s="269" t="s">
        <v>839</v>
      </c>
      <c r="B82" s="256">
        <f>GETPIVOTDATA("Sum of Old G E-Learning",'Pivot Table for Fact Book'!$A$3,"State","VA","type",1,"Type2","Four-Year")</f>
        <v>98658.5</v>
      </c>
      <c r="C82" s="257">
        <f>GETPIVOTDATA("Sum of New G E-Learning",'Pivot Table for Fact Book'!$A$3,"State","VA","type",1,"Type2","Four-Year")</f>
        <v>109110.5</v>
      </c>
      <c r="D82" s="256">
        <f>GETPIVOTDATA("Sum of Old G E-Learning",'Pivot Table for Fact Book'!$A$3,"State","VA","type",2,"Type2","Four-Year")</f>
        <v>5751</v>
      </c>
      <c r="E82" s="257">
        <f>GETPIVOTDATA("Sum of New G E-Learning",'Pivot Table for Fact Book'!$A$3,"State","VA","type",2,"Type2","Four-Year")</f>
        <v>7617</v>
      </c>
      <c r="F82" s="256">
        <f>GETPIVOTDATA("Sum of Old G E-Learning",'Pivot Table for Fact Book'!$A$3,"State","VA","type",3,"Type2","Four-Year")</f>
        <v>20562.8</v>
      </c>
      <c r="G82" s="257">
        <f>GETPIVOTDATA("Sum of New G E-Learning",'Pivot Table for Fact Book'!$A$3,"State","VA","type",3,"Type2","Four-Year")</f>
        <v>23525</v>
      </c>
      <c r="H82" s="256">
        <f>GETPIVOTDATA("Sum of Old G E-Learning",'Pivot Table for Fact Book'!$A$3,"State","VA","type",4,"Type2","Four-Year")</f>
        <v>0</v>
      </c>
      <c r="I82" s="257">
        <f>GETPIVOTDATA("Sum of New G E-Learning",'Pivot Table for Fact Book'!$A$3,"State","VA","type",4,"Type2","Four-Year")</f>
        <v>0</v>
      </c>
      <c r="J82" s="256">
        <f>GETPIVOTDATA("Sum of Old G E-Learning",'Pivot Table for Fact Book'!$A$3,"State","VA","type",5,"Type2","Four-Year")</f>
        <v>0</v>
      </c>
      <c r="K82" s="257">
        <f>GETPIVOTDATA("Sum of New G E-Learning",'Pivot Table for Fact Book'!$A$3,"State","VA","type",5,"Type2","Four-Year")</f>
        <v>0</v>
      </c>
      <c r="L82" s="256">
        <f>GETPIVOTDATA("Sum of Old G E-Learning",'Pivot Table for Fact Book'!$A$3,"State","VA","type",6,"Type2","Four-Year")</f>
        <v>0</v>
      </c>
      <c r="M82" s="257">
        <f>GETPIVOTDATA("Sum of New G E-Learning",'Pivot Table for Fact Book'!$A$3,"State","VA","type",6,"Type2","Four-Year")</f>
        <v>0</v>
      </c>
      <c r="N82" s="256">
        <f>GETPIVOTDATA("Sum of Old G E-Learning",'Pivot Table for Fact Book'!$A$3,"State","VA","type",15,"Type2","Four-Year")</f>
        <v>0</v>
      </c>
      <c r="O82" s="257">
        <f>GETPIVOTDATA("Sum of New G E-Learning",'Pivot Table for Fact Book'!$A$3,"State","VA","type",15,"Type2","Four-Year")</f>
        <v>0</v>
      </c>
      <c r="P82" s="258">
        <f>GETPIVOTDATA("Sum of Old G E-Learning",'Pivot Table for Fact Book'!$A$3,"State","VA","Type2","Four-Year")</f>
        <v>124972.3</v>
      </c>
      <c r="Q82" s="258">
        <f>GETPIVOTDATA("Sum of New G E-Learning",'Pivot Table for Fact Book'!$A$3,"State","VA","Type2","Four-Year")</f>
        <v>140252.5</v>
      </c>
    </row>
    <row r="83" spans="1:17">
      <c r="A83" s="290" t="s">
        <v>840</v>
      </c>
      <c r="B83" s="262">
        <f>GETPIVOTDATA("Sum of Old G E-Learning",'Pivot Table for Fact Book'!$A$3,"State","WV","type",1,"Type2","Four-Year")</f>
        <v>26755</v>
      </c>
      <c r="C83" s="263">
        <f>GETPIVOTDATA("Sum of New G E-Learning",'Pivot Table for Fact Book'!$A$3,"State","WV","type",1,"Type2","Four-Year")</f>
        <v>24648</v>
      </c>
      <c r="D83" s="262">
        <f>GETPIVOTDATA("Sum of Old G E-Learning",'Pivot Table for Fact Book'!$A$3,"State","WV","type",2,"Type2","Four-Year")</f>
        <v>0</v>
      </c>
      <c r="E83" s="263">
        <f>GETPIVOTDATA("Sum of New G E-Learning",'Pivot Table for Fact Book'!$A$3,"State","WV","type",2,"Type2","Four-Year")</f>
        <v>0</v>
      </c>
      <c r="F83" s="262">
        <f>GETPIVOTDATA("Sum of Old G E-Learning",'Pivot Table for Fact Book'!$A$3,"State","WV","type",3,"Type2","Four-Year")</f>
        <v>16372</v>
      </c>
      <c r="G83" s="263">
        <f>GETPIVOTDATA("Sum of New G E-Learning",'Pivot Table for Fact Book'!$A$3,"State","WV","type",3,"Type2","Four-Year")</f>
        <v>21772</v>
      </c>
      <c r="H83" s="262">
        <f>GETPIVOTDATA("Sum of Old G E-Learning",'Pivot Table for Fact Book'!$A$3,"State","WV","type",4,"Type2","Four-Year")</f>
        <v>0</v>
      </c>
      <c r="I83" s="263">
        <f>GETPIVOTDATA("Sum of New G E-Learning",'Pivot Table for Fact Book'!$A$3,"State","WV","type",4,"Type2","Four-Year")</f>
        <v>0</v>
      </c>
      <c r="J83" s="262">
        <f>GETPIVOTDATA("Sum of Old G E-Learning",'Pivot Table for Fact Book'!$A$3,"State","WV","type",5,"Type2","Four-Year")</f>
        <v>10678</v>
      </c>
      <c r="K83" s="263">
        <f>GETPIVOTDATA("Sum of New G E-Learning",'Pivot Table for Fact Book'!$A$3,"State","WV","type",5,"Type2","Four-Year")</f>
        <v>11989</v>
      </c>
      <c r="L83" s="262">
        <f>GETPIVOTDATA("Sum of Old G E-Learning",'Pivot Table for Fact Book'!$A$3,"State","WV","type",6,"Type2","Four-Year")</f>
        <v>507</v>
      </c>
      <c r="M83" s="263">
        <f>GETPIVOTDATA("Sum of New G E-Learning",'Pivot Table for Fact Book'!$A$3,"State","WV","type",6,"Type2","Four-Year")</f>
        <v>666</v>
      </c>
      <c r="N83" s="262">
        <f>GETPIVOTDATA("Sum of Old G E-Learning",'Pivot Table for Fact Book'!$A$3,"State","WV","type",15,"Type2","Four-Year")</f>
        <v>0</v>
      </c>
      <c r="O83" s="263">
        <f>GETPIVOTDATA("Sum of New G E-Learning",'Pivot Table for Fact Book'!$A$3,"State","WV","type",15,"Type2","Four-Year")</f>
        <v>0</v>
      </c>
      <c r="P83" s="264">
        <f>GETPIVOTDATA("Sum of Old G E-Learning",'Pivot Table for Fact Book'!$A$3,"State","WV","Type2","Four-Year")</f>
        <v>54312</v>
      </c>
      <c r="Q83" s="264">
        <f>GETPIVOTDATA("Sum of New G E-Learning",'Pivot Table for Fact Book'!$A$3,"State","WV","Type2","Four-Year")</f>
        <v>59075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CEC5-F4C6-4717-8CD3-55D5A6A6A747}">
  <sheetPr>
    <tabColor rgb="FF006600"/>
  </sheetPr>
  <dimension ref="A1:Z882"/>
  <sheetViews>
    <sheetView workbookViewId="0">
      <selection activeCell="T27" sqref="T27"/>
    </sheetView>
  </sheetViews>
  <sheetFormatPr defaultColWidth="8.88671875" defaultRowHeight="15"/>
  <cols>
    <col min="1" max="1" width="5.44140625" style="221" customWidth="1"/>
    <col min="2" max="2" width="20.88671875" style="221" customWidth="1"/>
    <col min="3" max="10" width="7.21875" style="221" customWidth="1"/>
    <col min="11" max="11" width="7.88671875" style="221" customWidth="1"/>
    <col min="12" max="15" width="8.6640625" style="221" customWidth="1"/>
    <col min="16" max="16" width="7.88671875" style="221" customWidth="1"/>
    <col min="17" max="18" width="8.6640625" style="221" customWidth="1"/>
    <col min="19" max="19" width="7.88671875" style="221" customWidth="1"/>
    <col min="20" max="22" width="8.6640625" style="221" customWidth="1"/>
    <col min="23" max="23" width="7.88671875" style="221" customWidth="1"/>
    <col min="24" max="25" width="8.6640625" style="221" customWidth="1"/>
    <col min="26" max="26" width="7.88671875" style="221" customWidth="1"/>
    <col min="27" max="16384" width="8.88671875" style="221"/>
  </cols>
  <sheetData>
    <row r="1" spans="1:26">
      <c r="A1" s="221" t="s">
        <v>722</v>
      </c>
    </row>
    <row r="2" spans="1:26">
      <c r="S2" s="222"/>
      <c r="T2" s="222"/>
    </row>
    <row r="3" spans="1:26">
      <c r="A3" s="223"/>
      <c r="B3" s="224"/>
      <c r="C3" s="168" t="s">
        <v>723</v>
      </c>
      <c r="D3" s="171" t="s">
        <v>21</v>
      </c>
      <c r="E3" s="171"/>
      <c r="F3" s="171"/>
      <c r="G3" s="171"/>
      <c r="H3" s="171"/>
      <c r="I3" s="171"/>
      <c r="J3" s="170"/>
      <c r="K3" s="171"/>
      <c r="L3" s="171"/>
      <c r="M3" s="171"/>
      <c r="N3" s="171"/>
      <c r="O3" s="170"/>
      <c r="P3" s="171"/>
      <c r="Q3" s="171"/>
      <c r="R3" s="170"/>
      <c r="S3" s="225"/>
      <c r="T3" s="226"/>
      <c r="U3" s="226"/>
      <c r="V3" s="226"/>
      <c r="W3" s="226"/>
      <c r="X3" s="226"/>
      <c r="Y3" s="226"/>
      <c r="Z3" s="226"/>
    </row>
    <row r="4" spans="1:26">
      <c r="A4" s="223"/>
      <c r="B4" s="224"/>
      <c r="C4" s="168" t="s">
        <v>724</v>
      </c>
      <c r="D4" s="169"/>
      <c r="E4" s="169"/>
      <c r="F4" s="169"/>
      <c r="G4" s="169"/>
      <c r="H4" s="169"/>
      <c r="I4" s="169"/>
      <c r="J4" s="181" t="s">
        <v>725</v>
      </c>
      <c r="K4" s="168">
        <v>14</v>
      </c>
      <c r="L4" s="227" t="s">
        <v>726</v>
      </c>
      <c r="M4" s="169" t="s">
        <v>727</v>
      </c>
      <c r="N4" s="169"/>
      <c r="O4" s="181"/>
      <c r="P4" s="168"/>
      <c r="Q4" s="227" t="s">
        <v>728</v>
      </c>
      <c r="R4" s="181" t="s">
        <v>729</v>
      </c>
      <c r="S4" s="228"/>
      <c r="T4" s="226" t="s">
        <v>730</v>
      </c>
      <c r="U4" s="226" t="s">
        <v>818</v>
      </c>
      <c r="V4" s="226" t="s">
        <v>819</v>
      </c>
      <c r="W4" s="226"/>
      <c r="X4" s="226"/>
      <c r="Y4" s="226"/>
      <c r="Z4" s="226"/>
    </row>
    <row r="5" spans="1:26">
      <c r="A5" s="229" t="s">
        <v>14</v>
      </c>
      <c r="B5" s="230" t="s">
        <v>731</v>
      </c>
      <c r="C5" s="223">
        <v>1</v>
      </c>
      <c r="D5" s="231">
        <v>2</v>
      </c>
      <c r="E5" s="231">
        <v>3</v>
      </c>
      <c r="F5" s="231">
        <v>4</v>
      </c>
      <c r="G5" s="231">
        <v>5</v>
      </c>
      <c r="H5" s="231">
        <v>6</v>
      </c>
      <c r="I5" s="231">
        <v>15</v>
      </c>
      <c r="J5" s="231"/>
      <c r="K5" s="182">
        <v>14</v>
      </c>
      <c r="L5" s="232"/>
      <c r="M5" s="233">
        <v>7</v>
      </c>
      <c r="N5" s="233">
        <v>8</v>
      </c>
      <c r="O5" s="233">
        <v>9</v>
      </c>
      <c r="P5" s="234">
        <v>10</v>
      </c>
      <c r="Q5" s="232"/>
      <c r="R5" s="233">
        <v>12</v>
      </c>
      <c r="S5" s="235">
        <v>13</v>
      </c>
      <c r="T5" s="226"/>
      <c r="U5" s="226" t="s">
        <v>818</v>
      </c>
      <c r="V5" s="226"/>
      <c r="W5" s="226"/>
      <c r="X5" s="226"/>
      <c r="Y5" s="226"/>
      <c r="Z5" s="226"/>
    </row>
    <row r="6" spans="1:26" s="241" customFormat="1">
      <c r="A6" s="236" t="s">
        <v>50</v>
      </c>
      <c r="B6" s="237" t="s">
        <v>732</v>
      </c>
      <c r="C6" s="237">
        <v>1918708</v>
      </c>
      <c r="D6" s="237">
        <v>467538</v>
      </c>
      <c r="E6" s="237">
        <v>761629</v>
      </c>
      <c r="F6" s="237">
        <v>245438</v>
      </c>
      <c r="G6" s="237">
        <v>122561</v>
      </c>
      <c r="H6" s="237">
        <v>67015</v>
      </c>
      <c r="I6" s="237">
        <v>13899</v>
      </c>
      <c r="J6" s="237">
        <v>3596788</v>
      </c>
      <c r="K6" s="238"/>
      <c r="L6" s="239"/>
      <c r="M6" s="237"/>
      <c r="N6" s="237">
        <v>367422</v>
      </c>
      <c r="O6" s="237">
        <v>921499</v>
      </c>
      <c r="P6" s="238">
        <v>342222</v>
      </c>
      <c r="Q6" s="239">
        <v>1631143</v>
      </c>
      <c r="R6" s="237">
        <v>40249</v>
      </c>
      <c r="S6" s="240">
        <v>44558</v>
      </c>
      <c r="T6" s="226">
        <v>84807</v>
      </c>
      <c r="U6" s="226"/>
      <c r="V6" s="226"/>
      <c r="W6" s="226"/>
      <c r="X6" s="226"/>
      <c r="Y6" s="226"/>
      <c r="Z6" s="226"/>
    </row>
    <row r="7" spans="1:26" s="241" customFormat="1">
      <c r="A7" s="242"/>
      <c r="B7" s="243" t="s">
        <v>733</v>
      </c>
      <c r="C7" s="243">
        <v>1976886</v>
      </c>
      <c r="D7" s="243">
        <v>466959</v>
      </c>
      <c r="E7" s="243">
        <v>780241</v>
      </c>
      <c r="F7" s="243">
        <v>237430</v>
      </c>
      <c r="G7" s="243">
        <v>124912</v>
      </c>
      <c r="H7" s="243">
        <v>65486</v>
      </c>
      <c r="I7" s="243">
        <v>13456</v>
      </c>
      <c r="J7" s="243">
        <v>3665370</v>
      </c>
      <c r="K7" s="244"/>
      <c r="L7" s="245"/>
      <c r="M7" s="243"/>
      <c r="N7" s="243">
        <v>366758</v>
      </c>
      <c r="O7" s="243">
        <v>1016846</v>
      </c>
      <c r="P7" s="244">
        <v>315161</v>
      </c>
      <c r="Q7" s="245">
        <v>1698765</v>
      </c>
      <c r="R7" s="243">
        <v>41951</v>
      </c>
      <c r="S7" s="246">
        <v>40961</v>
      </c>
      <c r="T7" s="226">
        <v>82912</v>
      </c>
      <c r="U7" s="226"/>
      <c r="V7" s="226"/>
      <c r="W7" s="226"/>
      <c r="X7" s="226"/>
      <c r="Y7" s="226"/>
      <c r="Z7" s="226"/>
    </row>
    <row r="8" spans="1:26" s="241" customFormat="1">
      <c r="A8" s="242"/>
      <c r="B8" s="237" t="s">
        <v>734</v>
      </c>
      <c r="C8" s="237">
        <v>221390</v>
      </c>
      <c r="D8" s="237">
        <v>48455</v>
      </c>
      <c r="E8" s="237">
        <v>159668</v>
      </c>
      <c r="F8" s="237">
        <v>42039</v>
      </c>
      <c r="G8" s="237">
        <v>12452</v>
      </c>
      <c r="H8" s="237">
        <v>51676</v>
      </c>
      <c r="I8" s="237">
        <v>103</v>
      </c>
      <c r="J8" s="237">
        <v>535783</v>
      </c>
      <c r="K8" s="238">
        <v>0</v>
      </c>
      <c r="L8" s="239">
        <v>0</v>
      </c>
      <c r="M8" s="237">
        <v>0</v>
      </c>
      <c r="N8" s="237">
        <v>119644</v>
      </c>
      <c r="O8" s="237">
        <v>179634</v>
      </c>
      <c r="P8" s="238">
        <v>98689</v>
      </c>
      <c r="Q8" s="239">
        <v>397967</v>
      </c>
      <c r="R8" s="237">
        <v>3318</v>
      </c>
      <c r="S8" s="240">
        <v>4408</v>
      </c>
      <c r="T8" s="226">
        <v>7726</v>
      </c>
      <c r="U8" s="226">
        <v>0</v>
      </c>
      <c r="V8" s="226">
        <v>0</v>
      </c>
      <c r="W8" s="226"/>
      <c r="X8" s="226"/>
      <c r="Y8" s="226"/>
      <c r="Z8" s="226"/>
    </row>
    <row r="9" spans="1:26" s="241" customFormat="1">
      <c r="A9" s="242"/>
      <c r="B9" s="243" t="s">
        <v>735</v>
      </c>
      <c r="C9" s="243">
        <v>245539</v>
      </c>
      <c r="D9" s="243">
        <v>57916</v>
      </c>
      <c r="E9" s="243">
        <v>191244</v>
      </c>
      <c r="F9" s="243">
        <v>46677</v>
      </c>
      <c r="G9" s="243">
        <v>18257</v>
      </c>
      <c r="H9" s="243">
        <v>53013</v>
      </c>
      <c r="I9" s="243">
        <v>184</v>
      </c>
      <c r="J9" s="243">
        <v>612830</v>
      </c>
      <c r="K9" s="244">
        <v>0</v>
      </c>
      <c r="L9" s="245">
        <v>0</v>
      </c>
      <c r="M9" s="243">
        <v>0</v>
      </c>
      <c r="N9" s="243">
        <v>125103</v>
      </c>
      <c r="O9" s="243">
        <v>219233</v>
      </c>
      <c r="P9" s="244">
        <v>104281</v>
      </c>
      <c r="Q9" s="245">
        <v>448617</v>
      </c>
      <c r="R9" s="243">
        <v>3617</v>
      </c>
      <c r="S9" s="246">
        <v>3796</v>
      </c>
      <c r="T9" s="226">
        <v>7413</v>
      </c>
      <c r="U9" s="226">
        <v>0</v>
      </c>
      <c r="V9" s="226">
        <v>0</v>
      </c>
      <c r="W9" s="226"/>
      <c r="X9" s="226"/>
      <c r="Y9" s="226"/>
      <c r="Z9" s="226"/>
    </row>
    <row r="10" spans="1:26" s="241" customFormat="1">
      <c r="A10" s="242"/>
      <c r="B10" s="237" t="s">
        <v>736</v>
      </c>
      <c r="C10" s="237">
        <v>255705</v>
      </c>
      <c r="D10" s="237">
        <v>49458</v>
      </c>
      <c r="E10" s="237">
        <v>85528</v>
      </c>
      <c r="F10" s="237">
        <v>23909</v>
      </c>
      <c r="G10" s="237">
        <v>51593</v>
      </c>
      <c r="H10" s="237">
        <v>1236</v>
      </c>
      <c r="I10" s="237">
        <v>0</v>
      </c>
      <c r="J10" s="237">
        <v>467429</v>
      </c>
      <c r="K10" s="238"/>
      <c r="L10" s="239"/>
      <c r="M10" s="237"/>
      <c r="N10" s="237">
        <v>0</v>
      </c>
      <c r="O10" s="237">
        <v>0</v>
      </c>
      <c r="P10" s="238">
        <v>0</v>
      </c>
      <c r="Q10" s="239">
        <v>0</v>
      </c>
      <c r="R10" s="237">
        <v>0</v>
      </c>
      <c r="S10" s="240">
        <v>0</v>
      </c>
      <c r="T10" s="226">
        <v>0</v>
      </c>
      <c r="U10" s="226"/>
      <c r="V10" s="226"/>
      <c r="W10" s="226"/>
      <c r="X10" s="226"/>
      <c r="Y10" s="226"/>
      <c r="Z10" s="226"/>
    </row>
    <row r="11" spans="1:26" s="241" customFormat="1">
      <c r="A11" s="242"/>
      <c r="B11" s="243" t="s">
        <v>737</v>
      </c>
      <c r="C11" s="243">
        <v>263744</v>
      </c>
      <c r="D11" s="243">
        <v>48047</v>
      </c>
      <c r="E11" s="243">
        <v>89072</v>
      </c>
      <c r="F11" s="243">
        <v>23018</v>
      </c>
      <c r="G11" s="243">
        <v>60631</v>
      </c>
      <c r="H11" s="243">
        <v>2376</v>
      </c>
      <c r="I11" s="243">
        <v>0</v>
      </c>
      <c r="J11" s="243">
        <v>486888</v>
      </c>
      <c r="K11" s="244"/>
      <c r="L11" s="245"/>
      <c r="M11" s="243"/>
      <c r="N11" s="243">
        <v>0</v>
      </c>
      <c r="O11" s="243">
        <v>0</v>
      </c>
      <c r="P11" s="244">
        <v>0</v>
      </c>
      <c r="Q11" s="245">
        <v>0</v>
      </c>
      <c r="R11" s="243">
        <v>0</v>
      </c>
      <c r="S11" s="246">
        <v>0</v>
      </c>
      <c r="T11" s="226">
        <v>0</v>
      </c>
      <c r="U11" s="226"/>
      <c r="V11" s="226"/>
      <c r="W11" s="226"/>
      <c r="X11" s="226"/>
      <c r="Y11" s="226"/>
      <c r="Z11" s="226"/>
    </row>
    <row r="12" spans="1:26" s="241" customFormat="1">
      <c r="A12" s="242"/>
      <c r="B12" s="237" t="s">
        <v>738</v>
      </c>
      <c r="C12" s="237">
        <v>65307</v>
      </c>
      <c r="D12" s="237">
        <v>14847</v>
      </c>
      <c r="E12" s="237">
        <v>40982</v>
      </c>
      <c r="F12" s="237">
        <v>8444</v>
      </c>
      <c r="G12" s="237">
        <v>43959</v>
      </c>
      <c r="H12" s="237">
        <v>1218</v>
      </c>
      <c r="I12" s="237">
        <v>0</v>
      </c>
      <c r="J12" s="237">
        <v>174757</v>
      </c>
      <c r="K12" s="238">
        <v>0</v>
      </c>
      <c r="L12" s="239">
        <v>0</v>
      </c>
      <c r="M12" s="237">
        <v>0</v>
      </c>
      <c r="N12" s="237">
        <v>0</v>
      </c>
      <c r="O12" s="237">
        <v>0</v>
      </c>
      <c r="P12" s="238">
        <v>0</v>
      </c>
      <c r="Q12" s="239">
        <v>0</v>
      </c>
      <c r="R12" s="237">
        <v>0</v>
      </c>
      <c r="S12" s="240">
        <v>0</v>
      </c>
      <c r="T12" s="226">
        <v>0</v>
      </c>
      <c r="U12" s="226">
        <v>0</v>
      </c>
      <c r="V12" s="226">
        <v>0</v>
      </c>
      <c r="W12" s="226"/>
      <c r="X12" s="226"/>
      <c r="Y12" s="226"/>
      <c r="Z12" s="226"/>
    </row>
    <row r="13" spans="1:26" s="241" customFormat="1">
      <c r="A13" s="247"/>
      <c r="B13" s="243" t="s">
        <v>739</v>
      </c>
      <c r="C13" s="243">
        <v>68566</v>
      </c>
      <c r="D13" s="243">
        <v>14784</v>
      </c>
      <c r="E13" s="243">
        <v>51599</v>
      </c>
      <c r="F13" s="243">
        <v>8530</v>
      </c>
      <c r="G13" s="243">
        <v>54109</v>
      </c>
      <c r="H13" s="243">
        <v>2346</v>
      </c>
      <c r="I13" s="243">
        <v>0</v>
      </c>
      <c r="J13" s="243">
        <v>199934</v>
      </c>
      <c r="K13" s="244">
        <v>0</v>
      </c>
      <c r="L13" s="245">
        <v>0</v>
      </c>
      <c r="M13" s="243">
        <v>0</v>
      </c>
      <c r="N13" s="243">
        <v>0</v>
      </c>
      <c r="O13" s="243">
        <v>0</v>
      </c>
      <c r="P13" s="244">
        <v>0</v>
      </c>
      <c r="Q13" s="245">
        <v>0</v>
      </c>
      <c r="R13" s="243">
        <v>0</v>
      </c>
      <c r="S13" s="246">
        <v>0</v>
      </c>
      <c r="T13" s="226">
        <v>0</v>
      </c>
      <c r="U13" s="226">
        <v>0</v>
      </c>
      <c r="V13" s="226">
        <v>0</v>
      </c>
      <c r="W13" s="226"/>
      <c r="X13" s="226"/>
      <c r="Y13" s="226"/>
      <c r="Z13" s="226"/>
    </row>
    <row r="14" spans="1:26" s="241" customFormat="1">
      <c r="A14" s="236" t="s">
        <v>84</v>
      </c>
      <c r="B14" s="237" t="s">
        <v>732</v>
      </c>
      <c r="C14" s="237">
        <v>648938</v>
      </c>
      <c r="D14" s="237">
        <v>205875</v>
      </c>
      <c r="E14" s="237">
        <v>759904</v>
      </c>
      <c r="F14" s="237">
        <v>178641</v>
      </c>
      <c r="G14" s="237">
        <v>74004</v>
      </c>
      <c r="H14" s="237">
        <v>231885</v>
      </c>
      <c r="I14" s="237">
        <v>18081</v>
      </c>
      <c r="J14" s="237">
        <v>2117328</v>
      </c>
      <c r="K14" s="239"/>
      <c r="L14" s="237"/>
      <c r="M14" s="237"/>
      <c r="N14" s="237">
        <v>150029</v>
      </c>
      <c r="O14" s="237">
        <v>206948</v>
      </c>
      <c r="P14" s="239">
        <v>594102</v>
      </c>
      <c r="Q14" s="237">
        <v>951079</v>
      </c>
      <c r="R14" s="248"/>
      <c r="S14" s="240"/>
      <c r="T14" s="226"/>
      <c r="U14" s="226"/>
      <c r="V14" s="226"/>
      <c r="W14" s="226"/>
      <c r="X14" s="226"/>
      <c r="Y14" s="226"/>
      <c r="Z14" s="226"/>
    </row>
    <row r="15" spans="1:26" s="241" customFormat="1">
      <c r="A15" s="242"/>
      <c r="B15" s="243" t="s">
        <v>733</v>
      </c>
      <c r="C15" s="243">
        <v>658267</v>
      </c>
      <c r="D15" s="243">
        <v>203956</v>
      </c>
      <c r="E15" s="243">
        <v>766207</v>
      </c>
      <c r="F15" s="243">
        <v>179513</v>
      </c>
      <c r="G15" s="243">
        <v>78724</v>
      </c>
      <c r="H15" s="243">
        <v>230655</v>
      </c>
      <c r="I15" s="243">
        <v>17308</v>
      </c>
      <c r="J15" s="243">
        <v>2134630</v>
      </c>
      <c r="K15" s="245"/>
      <c r="L15" s="243"/>
      <c r="M15" s="243"/>
      <c r="N15" s="243">
        <v>148520</v>
      </c>
      <c r="O15" s="243">
        <v>199404</v>
      </c>
      <c r="P15" s="245">
        <v>601572</v>
      </c>
      <c r="Q15" s="243">
        <v>949496</v>
      </c>
      <c r="R15" s="249"/>
      <c r="S15" s="246"/>
      <c r="T15" s="226"/>
      <c r="U15" s="226"/>
      <c r="V15" s="226"/>
      <c r="W15" s="226"/>
      <c r="X15" s="226"/>
      <c r="Y15" s="226"/>
      <c r="Z15" s="226"/>
    </row>
    <row r="16" spans="1:26" s="241" customFormat="1">
      <c r="A16" s="242"/>
      <c r="B16" s="237" t="s">
        <v>734</v>
      </c>
      <c r="C16" s="237">
        <v>56173</v>
      </c>
      <c r="D16" s="237">
        <v>72114</v>
      </c>
      <c r="E16" s="237">
        <v>164573</v>
      </c>
      <c r="F16" s="237">
        <v>32853</v>
      </c>
      <c r="G16" s="237">
        <v>17537</v>
      </c>
      <c r="H16" s="237">
        <v>51358</v>
      </c>
      <c r="I16" s="237">
        <v>5272</v>
      </c>
      <c r="J16" s="237">
        <v>399880</v>
      </c>
      <c r="K16" s="250">
        <v>0</v>
      </c>
      <c r="L16" s="237">
        <v>0</v>
      </c>
      <c r="M16" s="237">
        <v>0</v>
      </c>
      <c r="N16" s="237">
        <v>41915</v>
      </c>
      <c r="O16" s="237">
        <v>62964</v>
      </c>
      <c r="P16" s="250">
        <v>153951</v>
      </c>
      <c r="Q16" s="237">
        <v>258830</v>
      </c>
      <c r="R16" s="248">
        <v>0</v>
      </c>
      <c r="S16" s="240">
        <v>0</v>
      </c>
      <c r="T16" s="226">
        <v>0</v>
      </c>
      <c r="U16" s="226">
        <v>0</v>
      </c>
      <c r="V16" s="226">
        <v>0</v>
      </c>
      <c r="W16" s="226"/>
      <c r="X16" s="226"/>
      <c r="Y16" s="226"/>
      <c r="Z16" s="226"/>
    </row>
    <row r="17" spans="1:26" s="241" customFormat="1">
      <c r="A17" s="242"/>
      <c r="B17" s="243" t="s">
        <v>735</v>
      </c>
      <c r="C17" s="243">
        <v>59032</v>
      </c>
      <c r="D17" s="243">
        <v>72603</v>
      </c>
      <c r="E17" s="243">
        <v>170290</v>
      </c>
      <c r="F17" s="243">
        <v>35422</v>
      </c>
      <c r="G17" s="243">
        <v>18339</v>
      </c>
      <c r="H17" s="243">
        <v>53243</v>
      </c>
      <c r="I17" s="243">
        <v>5278</v>
      </c>
      <c r="J17" s="243">
        <v>414207</v>
      </c>
      <c r="K17" s="251">
        <v>0</v>
      </c>
      <c r="L17" s="243">
        <v>0</v>
      </c>
      <c r="M17" s="243">
        <v>0</v>
      </c>
      <c r="N17" s="243">
        <v>42628</v>
      </c>
      <c r="O17" s="243">
        <v>61938</v>
      </c>
      <c r="P17" s="251">
        <v>155326</v>
      </c>
      <c r="Q17" s="243">
        <v>259892</v>
      </c>
      <c r="R17" s="249">
        <v>0</v>
      </c>
      <c r="S17" s="246">
        <v>0</v>
      </c>
      <c r="T17" s="226">
        <v>0</v>
      </c>
      <c r="U17" s="226">
        <v>0</v>
      </c>
      <c r="V17" s="226">
        <v>0</v>
      </c>
      <c r="W17" s="226"/>
      <c r="X17" s="226"/>
      <c r="Y17" s="226"/>
      <c r="Z17" s="226"/>
    </row>
    <row r="18" spans="1:26" s="241" customFormat="1">
      <c r="A18" s="242"/>
      <c r="B18" s="237" t="s">
        <v>736</v>
      </c>
      <c r="C18" s="237">
        <v>79947</v>
      </c>
      <c r="D18" s="237">
        <v>42251</v>
      </c>
      <c r="E18" s="237">
        <v>148729</v>
      </c>
      <c r="F18" s="237">
        <v>30021</v>
      </c>
      <c r="G18" s="237">
        <v>5793</v>
      </c>
      <c r="H18" s="237">
        <v>1658</v>
      </c>
      <c r="I18" s="237">
        <v>0</v>
      </c>
      <c r="J18" s="237">
        <v>308399</v>
      </c>
      <c r="K18" s="239"/>
      <c r="L18" s="237"/>
      <c r="M18" s="237"/>
      <c r="N18" s="237">
        <v>0</v>
      </c>
      <c r="O18" s="237">
        <v>0</v>
      </c>
      <c r="P18" s="239">
        <v>0</v>
      </c>
      <c r="Q18" s="237">
        <v>0</v>
      </c>
      <c r="R18" s="248"/>
      <c r="S18" s="240"/>
      <c r="T18" s="226"/>
      <c r="U18" s="226"/>
      <c r="V18" s="226"/>
      <c r="W18" s="226"/>
      <c r="X18" s="226"/>
      <c r="Y18" s="226"/>
      <c r="Z18" s="226"/>
    </row>
    <row r="19" spans="1:26" s="241" customFormat="1">
      <c r="A19" s="242"/>
      <c r="B19" s="243" t="s">
        <v>737</v>
      </c>
      <c r="C19" s="243">
        <v>79091</v>
      </c>
      <c r="D19" s="243">
        <v>42678</v>
      </c>
      <c r="E19" s="243">
        <v>152320</v>
      </c>
      <c r="F19" s="243">
        <v>25495</v>
      </c>
      <c r="G19" s="243">
        <v>5987</v>
      </c>
      <c r="H19" s="243">
        <v>1724</v>
      </c>
      <c r="I19" s="243">
        <v>0</v>
      </c>
      <c r="J19" s="243">
        <v>307295</v>
      </c>
      <c r="K19" s="245"/>
      <c r="L19" s="243"/>
      <c r="M19" s="243"/>
      <c r="N19" s="243">
        <v>0</v>
      </c>
      <c r="O19" s="243">
        <v>0</v>
      </c>
      <c r="P19" s="245">
        <v>0</v>
      </c>
      <c r="Q19" s="243">
        <v>0</v>
      </c>
      <c r="R19" s="249"/>
      <c r="S19" s="246"/>
      <c r="T19" s="226"/>
      <c r="U19" s="226"/>
      <c r="V19" s="226"/>
      <c r="W19" s="226"/>
      <c r="X19" s="226"/>
      <c r="Y19" s="226"/>
      <c r="Z19" s="226"/>
    </row>
    <row r="20" spans="1:26" s="241" customFormat="1">
      <c r="A20" s="242"/>
      <c r="B20" s="237" t="s">
        <v>738</v>
      </c>
      <c r="C20" s="237">
        <v>24310</v>
      </c>
      <c r="D20" s="237">
        <v>12078</v>
      </c>
      <c r="E20" s="237">
        <v>101827</v>
      </c>
      <c r="F20" s="237">
        <v>21768</v>
      </c>
      <c r="G20" s="237">
        <v>4938</v>
      </c>
      <c r="H20" s="237">
        <v>486</v>
      </c>
      <c r="I20" s="237">
        <v>0</v>
      </c>
      <c r="J20" s="237">
        <v>165407</v>
      </c>
      <c r="K20" s="239">
        <v>0</v>
      </c>
      <c r="L20" s="237">
        <v>0</v>
      </c>
      <c r="M20" s="237">
        <v>0</v>
      </c>
      <c r="N20" s="237">
        <v>0</v>
      </c>
      <c r="O20" s="237">
        <v>0</v>
      </c>
      <c r="P20" s="239">
        <v>0</v>
      </c>
      <c r="Q20" s="237">
        <v>0</v>
      </c>
      <c r="R20" s="248">
        <v>0</v>
      </c>
      <c r="S20" s="240">
        <v>0</v>
      </c>
      <c r="T20" s="226">
        <v>0</v>
      </c>
      <c r="U20" s="226">
        <v>0</v>
      </c>
      <c r="V20" s="226">
        <v>0</v>
      </c>
      <c r="W20" s="226"/>
      <c r="X20" s="226"/>
      <c r="Y20" s="226"/>
      <c r="Z20" s="226"/>
    </row>
    <row r="21" spans="1:26" s="241" customFormat="1">
      <c r="A21" s="247"/>
      <c r="B21" s="243" t="s">
        <v>739</v>
      </c>
      <c r="C21" s="243">
        <v>25302</v>
      </c>
      <c r="D21" s="243">
        <v>12446</v>
      </c>
      <c r="E21" s="243">
        <v>104393</v>
      </c>
      <c r="F21" s="243">
        <v>19145</v>
      </c>
      <c r="G21" s="243">
        <v>5008</v>
      </c>
      <c r="H21" s="243">
        <v>564</v>
      </c>
      <c r="I21" s="243">
        <v>0</v>
      </c>
      <c r="J21" s="243">
        <v>166858</v>
      </c>
      <c r="K21" s="245">
        <v>0</v>
      </c>
      <c r="L21" s="243">
        <v>0</v>
      </c>
      <c r="M21" s="243">
        <v>0</v>
      </c>
      <c r="N21" s="243">
        <v>0</v>
      </c>
      <c r="O21" s="243">
        <v>0</v>
      </c>
      <c r="P21" s="245">
        <v>0</v>
      </c>
      <c r="Q21" s="243">
        <v>0</v>
      </c>
      <c r="R21" s="249">
        <v>0</v>
      </c>
      <c r="S21" s="246">
        <v>0</v>
      </c>
      <c r="T21" s="226">
        <v>0</v>
      </c>
      <c r="U21" s="226">
        <v>0</v>
      </c>
      <c r="V21" s="226">
        <v>0</v>
      </c>
      <c r="W21" s="226"/>
      <c r="X21" s="226"/>
      <c r="Y21" s="226"/>
      <c r="Z21" s="226"/>
    </row>
    <row r="22" spans="1:26" s="241" customFormat="1">
      <c r="A22" s="236" t="s">
        <v>116</v>
      </c>
      <c r="B22" s="237" t="s">
        <v>732</v>
      </c>
      <c r="C22" s="237">
        <v>583850</v>
      </c>
      <c r="D22" s="237"/>
      <c r="E22" s="237">
        <v>123316</v>
      </c>
      <c r="F22" s="237"/>
      <c r="G22" s="237"/>
      <c r="H22" s="237"/>
      <c r="I22" s="237"/>
      <c r="J22" s="237">
        <v>707166</v>
      </c>
      <c r="K22" s="239"/>
      <c r="L22" s="237"/>
      <c r="M22" s="237"/>
      <c r="N22" s="237"/>
      <c r="O22" s="237">
        <v>268781</v>
      </c>
      <c r="P22" s="239"/>
      <c r="Q22" s="237">
        <v>268781</v>
      </c>
      <c r="R22" s="248"/>
      <c r="S22" s="240"/>
      <c r="T22" s="226"/>
      <c r="U22" s="226"/>
      <c r="V22" s="226"/>
      <c r="W22" s="226"/>
      <c r="X22" s="226"/>
      <c r="Y22" s="226"/>
      <c r="Z22" s="226"/>
    </row>
    <row r="23" spans="1:26" s="241" customFormat="1">
      <c r="A23" s="242"/>
      <c r="B23" s="243" t="s">
        <v>733</v>
      </c>
      <c r="C23" s="243">
        <v>593876</v>
      </c>
      <c r="D23" s="243"/>
      <c r="E23" s="243">
        <v>136454</v>
      </c>
      <c r="F23" s="243"/>
      <c r="G23" s="243"/>
      <c r="H23" s="243"/>
      <c r="I23" s="243"/>
      <c r="J23" s="243">
        <v>730330</v>
      </c>
      <c r="K23" s="245"/>
      <c r="L23" s="243"/>
      <c r="M23" s="243"/>
      <c r="N23" s="243"/>
      <c r="O23" s="243">
        <v>270379</v>
      </c>
      <c r="P23" s="245"/>
      <c r="Q23" s="243">
        <v>270379</v>
      </c>
      <c r="R23" s="249"/>
      <c r="S23" s="246"/>
      <c r="T23" s="226"/>
      <c r="U23" s="226"/>
      <c r="V23" s="226"/>
      <c r="W23" s="226"/>
      <c r="X23" s="226"/>
      <c r="Y23" s="226"/>
      <c r="Z23" s="226"/>
    </row>
    <row r="24" spans="1:26" s="241" customFormat="1">
      <c r="A24" s="242"/>
      <c r="B24" s="237" t="s">
        <v>734</v>
      </c>
      <c r="C24" s="237">
        <v>21024</v>
      </c>
      <c r="D24" s="237">
        <v>0</v>
      </c>
      <c r="E24" s="237">
        <v>6753</v>
      </c>
      <c r="F24" s="237">
        <v>0</v>
      </c>
      <c r="G24" s="237">
        <v>0</v>
      </c>
      <c r="H24" s="237">
        <v>0</v>
      </c>
      <c r="I24" s="237">
        <v>0</v>
      </c>
      <c r="J24" s="237">
        <v>27777</v>
      </c>
      <c r="K24" s="239">
        <v>0</v>
      </c>
      <c r="L24" s="237">
        <v>0</v>
      </c>
      <c r="M24" s="237">
        <v>0</v>
      </c>
      <c r="N24" s="237">
        <v>0</v>
      </c>
      <c r="O24" s="237">
        <v>44466</v>
      </c>
      <c r="P24" s="239">
        <v>0</v>
      </c>
      <c r="Q24" s="237">
        <v>44466</v>
      </c>
      <c r="R24" s="248">
        <v>0</v>
      </c>
      <c r="S24" s="240">
        <v>0</v>
      </c>
      <c r="T24" s="226">
        <v>0</v>
      </c>
      <c r="U24" s="226">
        <v>0</v>
      </c>
      <c r="V24" s="226">
        <v>0</v>
      </c>
      <c r="W24" s="226"/>
      <c r="X24" s="226"/>
      <c r="Y24" s="226"/>
      <c r="Z24" s="226"/>
    </row>
    <row r="25" spans="1:26" s="241" customFormat="1">
      <c r="A25" s="242"/>
      <c r="B25" s="243" t="s">
        <v>735</v>
      </c>
      <c r="C25" s="243">
        <v>22979</v>
      </c>
      <c r="D25" s="243">
        <v>0</v>
      </c>
      <c r="E25" s="243">
        <v>10455</v>
      </c>
      <c r="F25" s="243">
        <v>0</v>
      </c>
      <c r="G25" s="243">
        <v>0</v>
      </c>
      <c r="H25" s="243">
        <v>0</v>
      </c>
      <c r="I25" s="243">
        <v>0</v>
      </c>
      <c r="J25" s="243">
        <v>33434</v>
      </c>
      <c r="K25" s="245">
        <v>0</v>
      </c>
      <c r="L25" s="243">
        <v>0</v>
      </c>
      <c r="M25" s="243">
        <v>0</v>
      </c>
      <c r="N25" s="243">
        <v>0</v>
      </c>
      <c r="O25" s="243">
        <v>53031</v>
      </c>
      <c r="P25" s="245">
        <v>0</v>
      </c>
      <c r="Q25" s="243">
        <v>53031</v>
      </c>
      <c r="R25" s="249">
        <v>0</v>
      </c>
      <c r="S25" s="246">
        <v>0</v>
      </c>
      <c r="T25" s="226">
        <v>0</v>
      </c>
      <c r="U25" s="226">
        <v>0</v>
      </c>
      <c r="V25" s="226">
        <v>0</v>
      </c>
      <c r="W25" s="226"/>
      <c r="X25" s="226"/>
      <c r="Y25" s="226"/>
      <c r="Z25" s="226"/>
    </row>
    <row r="26" spans="1:26" s="241" customFormat="1">
      <c r="A26" s="242"/>
      <c r="B26" s="237" t="s">
        <v>736</v>
      </c>
      <c r="C26" s="237">
        <v>64419</v>
      </c>
      <c r="D26" s="237"/>
      <c r="E26" s="237">
        <v>5600</v>
      </c>
      <c r="F26" s="237"/>
      <c r="G26" s="237"/>
      <c r="H26" s="237"/>
      <c r="I26" s="237"/>
      <c r="J26" s="237">
        <v>70019</v>
      </c>
      <c r="K26" s="239"/>
      <c r="L26" s="237"/>
      <c r="M26" s="237"/>
      <c r="N26" s="237"/>
      <c r="O26" s="237">
        <v>0</v>
      </c>
      <c r="P26" s="239"/>
      <c r="Q26" s="237">
        <v>0</v>
      </c>
      <c r="R26" s="248"/>
      <c r="S26" s="240"/>
      <c r="T26" s="226"/>
      <c r="U26" s="226"/>
      <c r="V26" s="226"/>
      <c r="W26" s="226"/>
      <c r="X26" s="226"/>
      <c r="Y26" s="226"/>
      <c r="Z26" s="226"/>
    </row>
    <row r="27" spans="1:26" s="241" customFormat="1">
      <c r="A27" s="242"/>
      <c r="B27" s="243" t="s">
        <v>737</v>
      </c>
      <c r="C27" s="243">
        <v>73413</v>
      </c>
      <c r="D27" s="243"/>
      <c r="E27" s="243">
        <v>7965</v>
      </c>
      <c r="F27" s="243"/>
      <c r="G27" s="243"/>
      <c r="H27" s="243"/>
      <c r="I27" s="243"/>
      <c r="J27" s="243">
        <v>81378</v>
      </c>
      <c r="K27" s="245"/>
      <c r="L27" s="243"/>
      <c r="M27" s="243"/>
      <c r="N27" s="243"/>
      <c r="O27" s="243">
        <v>0</v>
      </c>
      <c r="P27" s="245"/>
      <c r="Q27" s="243">
        <v>0</v>
      </c>
      <c r="R27" s="249"/>
      <c r="S27" s="246"/>
      <c r="T27" s="226"/>
      <c r="U27" s="226"/>
      <c r="V27" s="226"/>
      <c r="W27" s="226"/>
      <c r="X27" s="226"/>
      <c r="Y27" s="226"/>
      <c r="Z27" s="226"/>
    </row>
    <row r="28" spans="1:26" s="241" customFormat="1">
      <c r="A28" s="242"/>
      <c r="B28" s="237" t="s">
        <v>738</v>
      </c>
      <c r="C28" s="237">
        <v>7643</v>
      </c>
      <c r="D28" s="237">
        <v>0</v>
      </c>
      <c r="E28" s="237">
        <v>717</v>
      </c>
      <c r="F28" s="237">
        <v>0</v>
      </c>
      <c r="G28" s="237">
        <v>0</v>
      </c>
      <c r="H28" s="237">
        <v>0</v>
      </c>
      <c r="I28" s="237">
        <v>0</v>
      </c>
      <c r="J28" s="237">
        <v>8360</v>
      </c>
      <c r="K28" s="239">
        <v>0</v>
      </c>
      <c r="L28" s="237">
        <v>0</v>
      </c>
      <c r="M28" s="237">
        <v>0</v>
      </c>
      <c r="N28" s="237">
        <v>0</v>
      </c>
      <c r="O28" s="237">
        <v>0</v>
      </c>
      <c r="P28" s="239">
        <v>0</v>
      </c>
      <c r="Q28" s="237">
        <v>0</v>
      </c>
      <c r="R28" s="248">
        <v>0</v>
      </c>
      <c r="S28" s="240">
        <v>0</v>
      </c>
      <c r="T28" s="226">
        <v>0</v>
      </c>
      <c r="U28" s="226">
        <v>0</v>
      </c>
      <c r="V28" s="226">
        <v>0</v>
      </c>
      <c r="W28" s="226"/>
      <c r="X28" s="226"/>
      <c r="Y28" s="226"/>
      <c r="Z28" s="226"/>
    </row>
    <row r="29" spans="1:26" s="241" customFormat="1">
      <c r="A29" s="247"/>
      <c r="B29" s="243" t="s">
        <v>739</v>
      </c>
      <c r="C29" s="243">
        <v>10153</v>
      </c>
      <c r="D29" s="243">
        <v>0</v>
      </c>
      <c r="E29" s="243">
        <v>1431</v>
      </c>
      <c r="F29" s="243">
        <v>0</v>
      </c>
      <c r="G29" s="243">
        <v>0</v>
      </c>
      <c r="H29" s="243">
        <v>0</v>
      </c>
      <c r="I29" s="243">
        <v>0</v>
      </c>
      <c r="J29" s="243">
        <v>11584</v>
      </c>
      <c r="K29" s="245">
        <v>0</v>
      </c>
      <c r="L29" s="243">
        <v>0</v>
      </c>
      <c r="M29" s="243">
        <v>0</v>
      </c>
      <c r="N29" s="243">
        <v>0</v>
      </c>
      <c r="O29" s="243">
        <v>0</v>
      </c>
      <c r="P29" s="245">
        <v>0</v>
      </c>
      <c r="Q29" s="243">
        <v>0</v>
      </c>
      <c r="R29" s="249">
        <v>0</v>
      </c>
      <c r="S29" s="246">
        <v>0</v>
      </c>
      <c r="T29" s="226">
        <v>0</v>
      </c>
      <c r="U29" s="226">
        <v>0</v>
      </c>
      <c r="V29" s="226">
        <v>0</v>
      </c>
      <c r="W29" s="226"/>
      <c r="X29" s="226"/>
      <c r="Y29" s="226"/>
      <c r="Z29" s="226"/>
    </row>
    <row r="30" spans="1:26" s="241" customFormat="1">
      <c r="A30" s="236" t="s">
        <v>120</v>
      </c>
      <c r="B30" s="237" t="s">
        <v>732</v>
      </c>
      <c r="C30" s="237"/>
      <c r="D30" s="237"/>
      <c r="E30" s="237"/>
      <c r="F30" s="237"/>
      <c r="G30" s="237"/>
      <c r="H30" s="237"/>
      <c r="I30" s="237"/>
      <c r="J30" s="237"/>
      <c r="K30" s="239"/>
      <c r="L30" s="237"/>
      <c r="M30" s="237">
        <v>8213068</v>
      </c>
      <c r="N30" s="237">
        <v>824159</v>
      </c>
      <c r="O30" s="237"/>
      <c r="P30" s="239">
        <v>42300</v>
      </c>
      <c r="Q30" s="237">
        <v>9079527</v>
      </c>
      <c r="R30" s="248"/>
      <c r="S30" s="240"/>
      <c r="T30" s="226"/>
      <c r="U30" s="226"/>
      <c r="V30" s="226"/>
      <c r="W30" s="226"/>
      <c r="X30" s="226"/>
      <c r="Y30" s="226"/>
      <c r="Z30" s="226"/>
    </row>
    <row r="31" spans="1:26" s="241" customFormat="1">
      <c r="A31" s="242"/>
      <c r="B31" s="243" t="s">
        <v>733</v>
      </c>
      <c r="C31" s="243"/>
      <c r="D31" s="243"/>
      <c r="E31" s="243"/>
      <c r="F31" s="243"/>
      <c r="G31" s="243"/>
      <c r="H31" s="243"/>
      <c r="I31" s="243"/>
      <c r="J31" s="243"/>
      <c r="K31" s="245"/>
      <c r="L31" s="243"/>
      <c r="M31" s="243">
        <v>8182107</v>
      </c>
      <c r="N31" s="243">
        <v>845236</v>
      </c>
      <c r="O31" s="243"/>
      <c r="P31" s="245">
        <v>42338</v>
      </c>
      <c r="Q31" s="243">
        <v>9069681</v>
      </c>
      <c r="R31" s="249"/>
      <c r="S31" s="246"/>
      <c r="T31" s="226"/>
      <c r="U31" s="226"/>
      <c r="V31" s="226"/>
      <c r="W31" s="226"/>
      <c r="X31" s="226"/>
      <c r="Y31" s="226"/>
      <c r="Z31" s="226"/>
    </row>
    <row r="32" spans="1:26" s="241" customFormat="1">
      <c r="A32" s="242"/>
      <c r="B32" s="237" t="s">
        <v>734</v>
      </c>
      <c r="C32" s="237">
        <v>0</v>
      </c>
      <c r="D32" s="237">
        <v>0</v>
      </c>
      <c r="E32" s="237">
        <v>0</v>
      </c>
      <c r="F32" s="237">
        <v>0</v>
      </c>
      <c r="G32" s="237">
        <v>0</v>
      </c>
      <c r="H32" s="237">
        <v>0</v>
      </c>
      <c r="I32" s="237">
        <v>0</v>
      </c>
      <c r="J32" s="237">
        <v>0</v>
      </c>
      <c r="K32" s="239">
        <v>0</v>
      </c>
      <c r="L32" s="237">
        <v>0</v>
      </c>
      <c r="M32" s="237">
        <v>2160877</v>
      </c>
      <c r="N32" s="237">
        <v>215344</v>
      </c>
      <c r="O32" s="237">
        <v>0</v>
      </c>
      <c r="P32" s="239">
        <v>12269</v>
      </c>
      <c r="Q32" s="237">
        <v>2388490</v>
      </c>
      <c r="R32" s="248">
        <v>0</v>
      </c>
      <c r="S32" s="240">
        <v>0</v>
      </c>
      <c r="T32" s="226">
        <v>0</v>
      </c>
      <c r="U32" s="226">
        <v>0</v>
      </c>
      <c r="V32" s="226">
        <v>0</v>
      </c>
      <c r="W32" s="226"/>
      <c r="X32" s="226"/>
      <c r="Y32" s="226"/>
      <c r="Z32" s="226"/>
    </row>
    <row r="33" spans="1:26" s="241" customFormat="1">
      <c r="A33" s="242"/>
      <c r="B33" s="243" t="s">
        <v>735</v>
      </c>
      <c r="C33" s="243">
        <v>0</v>
      </c>
      <c r="D33" s="243">
        <v>0</v>
      </c>
      <c r="E33" s="243">
        <v>0</v>
      </c>
      <c r="F33" s="243">
        <v>0</v>
      </c>
      <c r="G33" s="243">
        <v>0</v>
      </c>
      <c r="H33" s="243">
        <v>0</v>
      </c>
      <c r="I33" s="243">
        <v>0</v>
      </c>
      <c r="J33" s="243">
        <v>0</v>
      </c>
      <c r="K33" s="245">
        <v>0</v>
      </c>
      <c r="L33" s="243">
        <v>0</v>
      </c>
      <c r="M33" s="243">
        <v>2294518</v>
      </c>
      <c r="N33" s="243">
        <v>258871</v>
      </c>
      <c r="O33" s="243">
        <v>0</v>
      </c>
      <c r="P33" s="245">
        <v>14214</v>
      </c>
      <c r="Q33" s="243">
        <v>2567603</v>
      </c>
      <c r="R33" s="249">
        <v>0</v>
      </c>
      <c r="S33" s="246">
        <v>0</v>
      </c>
      <c r="T33" s="226">
        <v>0</v>
      </c>
      <c r="U33" s="226">
        <v>0</v>
      </c>
      <c r="V33" s="226">
        <v>0</v>
      </c>
      <c r="W33" s="226"/>
      <c r="X33" s="226"/>
      <c r="Y33" s="226"/>
      <c r="Z33" s="226"/>
    </row>
    <row r="34" spans="1:26" s="241" customFormat="1">
      <c r="A34" s="242"/>
      <c r="B34" s="237" t="s">
        <v>736</v>
      </c>
      <c r="C34" s="237"/>
      <c r="D34" s="237"/>
      <c r="E34" s="237"/>
      <c r="F34" s="237"/>
      <c r="G34" s="237"/>
      <c r="H34" s="237"/>
      <c r="I34" s="237"/>
      <c r="J34" s="237"/>
      <c r="K34" s="239"/>
      <c r="L34" s="237"/>
      <c r="M34" s="237">
        <v>0</v>
      </c>
      <c r="N34" s="237">
        <v>0</v>
      </c>
      <c r="O34" s="237"/>
      <c r="P34" s="239">
        <v>0</v>
      </c>
      <c r="Q34" s="237">
        <v>0</v>
      </c>
      <c r="R34" s="248"/>
      <c r="S34" s="240"/>
      <c r="T34" s="226"/>
      <c r="U34" s="226"/>
      <c r="V34" s="226"/>
      <c r="W34" s="226"/>
      <c r="X34" s="226"/>
      <c r="Y34" s="226"/>
      <c r="Z34" s="226"/>
    </row>
    <row r="35" spans="1:26" s="241" customFormat="1">
      <c r="A35" s="242"/>
      <c r="B35" s="243" t="s">
        <v>737</v>
      </c>
      <c r="C35" s="243"/>
      <c r="D35" s="243"/>
      <c r="E35" s="243"/>
      <c r="F35" s="243"/>
      <c r="G35" s="243"/>
      <c r="H35" s="243"/>
      <c r="I35" s="243"/>
      <c r="J35" s="243"/>
      <c r="K35" s="245"/>
      <c r="L35" s="243"/>
      <c r="M35" s="243">
        <v>0</v>
      </c>
      <c r="N35" s="243">
        <v>0</v>
      </c>
      <c r="O35" s="243"/>
      <c r="P35" s="245">
        <v>0</v>
      </c>
      <c r="Q35" s="243">
        <v>0</v>
      </c>
      <c r="R35" s="249"/>
      <c r="S35" s="246"/>
      <c r="T35" s="226"/>
      <c r="U35" s="226"/>
      <c r="V35" s="226"/>
      <c r="W35" s="226"/>
      <c r="X35" s="226"/>
      <c r="Y35" s="226"/>
      <c r="Z35" s="226"/>
    </row>
    <row r="36" spans="1:26" s="241" customFormat="1">
      <c r="A36" s="242"/>
      <c r="B36" s="237" t="s">
        <v>738</v>
      </c>
      <c r="C36" s="237">
        <v>0</v>
      </c>
      <c r="D36" s="237">
        <v>0</v>
      </c>
      <c r="E36" s="237">
        <v>0</v>
      </c>
      <c r="F36" s="237">
        <v>0</v>
      </c>
      <c r="G36" s="237">
        <v>0</v>
      </c>
      <c r="H36" s="237">
        <v>0</v>
      </c>
      <c r="I36" s="237">
        <v>0</v>
      </c>
      <c r="J36" s="237">
        <v>0</v>
      </c>
      <c r="K36" s="239">
        <v>0</v>
      </c>
      <c r="L36" s="237">
        <v>0</v>
      </c>
      <c r="M36" s="237">
        <v>0</v>
      </c>
      <c r="N36" s="237">
        <v>0</v>
      </c>
      <c r="O36" s="237">
        <v>0</v>
      </c>
      <c r="P36" s="239">
        <v>0</v>
      </c>
      <c r="Q36" s="237">
        <v>0</v>
      </c>
      <c r="R36" s="248">
        <v>0</v>
      </c>
      <c r="S36" s="240">
        <v>0</v>
      </c>
      <c r="T36" s="226">
        <v>0</v>
      </c>
      <c r="U36" s="226">
        <v>0</v>
      </c>
      <c r="V36" s="226">
        <v>0</v>
      </c>
      <c r="W36" s="226"/>
      <c r="X36" s="226"/>
      <c r="Y36" s="226"/>
      <c r="Z36" s="226"/>
    </row>
    <row r="37" spans="1:26" s="241" customFormat="1">
      <c r="A37" s="247"/>
      <c r="B37" s="243" t="s">
        <v>739</v>
      </c>
      <c r="C37" s="243">
        <v>0</v>
      </c>
      <c r="D37" s="243">
        <v>0</v>
      </c>
      <c r="E37" s="243">
        <v>0</v>
      </c>
      <c r="F37" s="243">
        <v>0</v>
      </c>
      <c r="G37" s="243">
        <v>0</v>
      </c>
      <c r="H37" s="243">
        <v>0</v>
      </c>
      <c r="I37" s="243">
        <v>0</v>
      </c>
      <c r="J37" s="243">
        <v>0</v>
      </c>
      <c r="K37" s="245">
        <v>0</v>
      </c>
      <c r="L37" s="243">
        <v>0</v>
      </c>
      <c r="M37" s="243">
        <v>0</v>
      </c>
      <c r="N37" s="243">
        <v>0</v>
      </c>
      <c r="O37" s="243">
        <v>0</v>
      </c>
      <c r="P37" s="245">
        <v>0</v>
      </c>
      <c r="Q37" s="243">
        <v>0</v>
      </c>
      <c r="R37" s="249">
        <v>0</v>
      </c>
      <c r="S37" s="246">
        <v>0</v>
      </c>
      <c r="T37" s="226">
        <v>0</v>
      </c>
      <c r="U37" s="226">
        <v>0</v>
      </c>
      <c r="V37" s="226">
        <v>0</v>
      </c>
      <c r="W37" s="226"/>
      <c r="X37" s="226"/>
      <c r="Y37" s="226"/>
      <c r="Z37" s="226"/>
    </row>
    <row r="38" spans="1:26" s="241" customFormat="1">
      <c r="A38" s="236" t="s">
        <v>149</v>
      </c>
      <c r="B38" s="237" t="s">
        <v>732</v>
      </c>
      <c r="C38" s="237">
        <v>1904194</v>
      </c>
      <c r="D38" s="237">
        <v>438044</v>
      </c>
      <c r="E38" s="237">
        <v>1913039</v>
      </c>
      <c r="F38" s="237">
        <v>1539456</v>
      </c>
      <c r="G38" s="237">
        <v>123043</v>
      </c>
      <c r="H38" s="237">
        <v>676909</v>
      </c>
      <c r="I38" s="237"/>
      <c r="J38" s="237">
        <v>6594685</v>
      </c>
      <c r="K38" s="239"/>
      <c r="L38" s="237"/>
      <c r="M38" s="237">
        <v>498002</v>
      </c>
      <c r="N38" s="237">
        <v>0</v>
      </c>
      <c r="O38" s="237"/>
      <c r="P38" s="239">
        <v>41554</v>
      </c>
      <c r="Q38" s="237">
        <v>539556</v>
      </c>
      <c r="R38" s="248">
        <v>1949689.1</v>
      </c>
      <c r="S38" s="240"/>
      <c r="T38" s="226">
        <v>1949689.1</v>
      </c>
      <c r="U38" s="226"/>
      <c r="V38" s="226"/>
      <c r="W38" s="226"/>
      <c r="X38" s="226"/>
      <c r="Y38" s="226"/>
      <c r="Z38" s="226"/>
    </row>
    <row r="39" spans="1:26" s="241" customFormat="1">
      <c r="A39" s="242"/>
      <c r="B39" s="243" t="s">
        <v>733</v>
      </c>
      <c r="C39" s="243">
        <v>1962423</v>
      </c>
      <c r="D39" s="243">
        <v>448495</v>
      </c>
      <c r="E39" s="243">
        <v>2059953</v>
      </c>
      <c r="F39" s="243">
        <v>1401314.5</v>
      </c>
      <c r="G39" s="243">
        <v>117463</v>
      </c>
      <c r="H39" s="243">
        <v>693119</v>
      </c>
      <c r="I39" s="243"/>
      <c r="J39" s="243">
        <v>6682767.5</v>
      </c>
      <c r="K39" s="245"/>
      <c r="L39" s="243"/>
      <c r="M39" s="243">
        <v>517561</v>
      </c>
      <c r="N39" s="243">
        <v>0</v>
      </c>
      <c r="O39" s="243"/>
      <c r="P39" s="245">
        <v>0</v>
      </c>
      <c r="Q39" s="243">
        <v>517561</v>
      </c>
      <c r="R39" s="249">
        <v>1984110.4</v>
      </c>
      <c r="S39" s="246"/>
      <c r="T39" s="226">
        <v>1984110.4</v>
      </c>
      <c r="U39" s="226"/>
      <c r="V39" s="226"/>
      <c r="W39" s="226"/>
      <c r="X39" s="226"/>
      <c r="Y39" s="226"/>
      <c r="Z39" s="226"/>
    </row>
    <row r="40" spans="1:26" s="241" customFormat="1">
      <c r="A40" s="242"/>
      <c r="B40" s="237" t="s">
        <v>734</v>
      </c>
      <c r="C40" s="237">
        <v>237625</v>
      </c>
      <c r="D40" s="237">
        <v>6531</v>
      </c>
      <c r="E40" s="237">
        <v>434564</v>
      </c>
      <c r="F40" s="237">
        <v>270937</v>
      </c>
      <c r="G40" s="237">
        <v>11308</v>
      </c>
      <c r="H40" s="237">
        <v>93622</v>
      </c>
      <c r="I40" s="237">
        <v>0</v>
      </c>
      <c r="J40" s="237">
        <v>1054587</v>
      </c>
      <c r="K40" s="239">
        <v>0</v>
      </c>
      <c r="L40" s="237">
        <v>0</v>
      </c>
      <c r="M40" s="237">
        <v>96025</v>
      </c>
      <c r="N40" s="237">
        <v>0</v>
      </c>
      <c r="O40" s="237">
        <v>0</v>
      </c>
      <c r="P40" s="239">
        <v>14927</v>
      </c>
      <c r="Q40" s="237">
        <v>110952</v>
      </c>
      <c r="R40" s="248">
        <v>661322</v>
      </c>
      <c r="S40" s="240">
        <v>0</v>
      </c>
      <c r="T40" s="226">
        <v>661322</v>
      </c>
      <c r="U40" s="226">
        <v>0</v>
      </c>
      <c r="V40" s="226">
        <v>0</v>
      </c>
      <c r="W40" s="226"/>
      <c r="X40" s="226"/>
      <c r="Y40" s="226"/>
      <c r="Z40" s="226"/>
    </row>
    <row r="41" spans="1:26" s="241" customFormat="1">
      <c r="A41" s="242"/>
      <c r="B41" s="243" t="s">
        <v>735</v>
      </c>
      <c r="C41" s="243">
        <v>266495</v>
      </c>
      <c r="D41" s="243">
        <v>12192</v>
      </c>
      <c r="E41" s="243">
        <v>503798</v>
      </c>
      <c r="F41" s="243">
        <v>267981</v>
      </c>
      <c r="G41" s="243">
        <v>16988</v>
      </c>
      <c r="H41" s="243">
        <v>114803</v>
      </c>
      <c r="I41" s="243">
        <v>0</v>
      </c>
      <c r="J41" s="243">
        <v>1182257</v>
      </c>
      <c r="K41" s="245">
        <v>0</v>
      </c>
      <c r="L41" s="243">
        <v>0</v>
      </c>
      <c r="M41" s="243">
        <v>121648</v>
      </c>
      <c r="N41" s="243">
        <v>0</v>
      </c>
      <c r="O41" s="243">
        <v>0</v>
      </c>
      <c r="P41" s="245">
        <v>0</v>
      </c>
      <c r="Q41" s="243">
        <v>121648</v>
      </c>
      <c r="R41" s="249">
        <v>725058.1</v>
      </c>
      <c r="S41" s="246">
        <v>0</v>
      </c>
      <c r="T41" s="226">
        <v>725058.1</v>
      </c>
      <c r="U41" s="226">
        <v>0</v>
      </c>
      <c r="V41" s="226">
        <v>0</v>
      </c>
      <c r="W41" s="226"/>
      <c r="X41" s="226"/>
      <c r="Y41" s="226"/>
      <c r="Z41" s="226"/>
    </row>
    <row r="42" spans="1:26" s="241" customFormat="1">
      <c r="A42" s="242"/>
      <c r="B42" s="237" t="s">
        <v>736</v>
      </c>
      <c r="C42" s="237">
        <v>494972.95</v>
      </c>
      <c r="D42" s="237">
        <v>305290.5</v>
      </c>
      <c r="E42" s="237">
        <v>184019</v>
      </c>
      <c r="F42" s="237">
        <v>300481</v>
      </c>
      <c r="G42" s="237">
        <v>4030</v>
      </c>
      <c r="H42" s="237">
        <v>1871</v>
      </c>
      <c r="I42" s="237"/>
      <c r="J42" s="237">
        <v>1290664.45</v>
      </c>
      <c r="K42" s="239"/>
      <c r="L42" s="237"/>
      <c r="M42" s="237">
        <v>0</v>
      </c>
      <c r="N42" s="237">
        <v>0</v>
      </c>
      <c r="O42" s="237"/>
      <c r="P42" s="239">
        <v>0</v>
      </c>
      <c r="Q42" s="237">
        <v>0</v>
      </c>
      <c r="R42" s="248">
        <v>0</v>
      </c>
      <c r="S42" s="240"/>
      <c r="T42" s="226">
        <v>0</v>
      </c>
      <c r="U42" s="226"/>
      <c r="V42" s="226"/>
      <c r="W42" s="226"/>
      <c r="X42" s="226"/>
      <c r="Y42" s="226"/>
      <c r="Z42" s="226"/>
    </row>
    <row r="43" spans="1:26" s="241" customFormat="1">
      <c r="A43" s="242"/>
      <c r="B43" s="243" t="s">
        <v>737</v>
      </c>
      <c r="C43" s="243">
        <v>497854.9</v>
      </c>
      <c r="D43" s="243">
        <v>332827.5</v>
      </c>
      <c r="E43" s="243">
        <v>203821</v>
      </c>
      <c r="F43" s="243">
        <v>289588.5</v>
      </c>
      <c r="G43" s="243">
        <v>3734</v>
      </c>
      <c r="H43" s="243">
        <v>3639</v>
      </c>
      <c r="I43" s="243"/>
      <c r="J43" s="243">
        <v>1331464.8999999999</v>
      </c>
      <c r="K43" s="245"/>
      <c r="L43" s="243"/>
      <c r="M43" s="243">
        <v>0</v>
      </c>
      <c r="N43" s="243">
        <v>0</v>
      </c>
      <c r="O43" s="243"/>
      <c r="P43" s="245">
        <v>0</v>
      </c>
      <c r="Q43" s="243">
        <v>0</v>
      </c>
      <c r="R43" s="249">
        <v>0</v>
      </c>
      <c r="S43" s="246"/>
      <c r="T43" s="226">
        <v>0</v>
      </c>
      <c r="U43" s="226"/>
      <c r="V43" s="226"/>
      <c r="W43" s="226"/>
      <c r="X43" s="226"/>
      <c r="Y43" s="226"/>
      <c r="Z43" s="226"/>
    </row>
    <row r="44" spans="1:26" s="241" customFormat="1">
      <c r="A44" s="242"/>
      <c r="B44" s="237" t="s">
        <v>738</v>
      </c>
      <c r="C44" s="237">
        <v>25701</v>
      </c>
      <c r="D44" s="237">
        <v>56925</v>
      </c>
      <c r="E44" s="237">
        <v>121482</v>
      </c>
      <c r="F44" s="237">
        <v>62374</v>
      </c>
      <c r="G44" s="237">
        <v>900</v>
      </c>
      <c r="H44" s="237">
        <v>1763</v>
      </c>
      <c r="I44" s="237">
        <v>0</v>
      </c>
      <c r="J44" s="237">
        <v>269145</v>
      </c>
      <c r="K44" s="239">
        <v>0</v>
      </c>
      <c r="L44" s="237">
        <v>0</v>
      </c>
      <c r="M44" s="237">
        <v>0</v>
      </c>
      <c r="N44" s="237">
        <v>0</v>
      </c>
      <c r="O44" s="237">
        <v>0</v>
      </c>
      <c r="P44" s="239">
        <v>0</v>
      </c>
      <c r="Q44" s="237">
        <v>0</v>
      </c>
      <c r="R44" s="248">
        <v>0</v>
      </c>
      <c r="S44" s="240">
        <v>0</v>
      </c>
      <c r="T44" s="226">
        <v>0</v>
      </c>
      <c r="U44" s="226">
        <v>0</v>
      </c>
      <c r="V44" s="226">
        <v>0</v>
      </c>
      <c r="W44" s="226"/>
      <c r="X44" s="226"/>
      <c r="Y44" s="226"/>
      <c r="Z44" s="226"/>
    </row>
    <row r="45" spans="1:26" s="241" customFormat="1">
      <c r="A45" s="247"/>
      <c r="B45" s="243" t="s">
        <v>739</v>
      </c>
      <c r="C45" s="243">
        <v>30097</v>
      </c>
      <c r="D45" s="243">
        <v>87090</v>
      </c>
      <c r="E45" s="243">
        <v>135228</v>
      </c>
      <c r="F45" s="243">
        <v>61041</v>
      </c>
      <c r="G45" s="243">
        <v>837</v>
      </c>
      <c r="H45" s="243">
        <v>3210</v>
      </c>
      <c r="I45" s="243">
        <v>0</v>
      </c>
      <c r="J45" s="243">
        <v>317503</v>
      </c>
      <c r="K45" s="245">
        <v>0</v>
      </c>
      <c r="L45" s="243">
        <v>0</v>
      </c>
      <c r="M45" s="243">
        <v>0</v>
      </c>
      <c r="N45" s="243">
        <v>0</v>
      </c>
      <c r="O45" s="243">
        <v>0</v>
      </c>
      <c r="P45" s="245">
        <v>0</v>
      </c>
      <c r="Q45" s="243">
        <v>0</v>
      </c>
      <c r="R45" s="249">
        <v>0</v>
      </c>
      <c r="S45" s="246">
        <v>0</v>
      </c>
      <c r="T45" s="226">
        <v>0</v>
      </c>
      <c r="U45" s="226">
        <v>0</v>
      </c>
      <c r="V45" s="226">
        <v>0</v>
      </c>
      <c r="W45" s="226"/>
      <c r="X45" s="226"/>
      <c r="Y45" s="226"/>
      <c r="Z45" s="226"/>
    </row>
    <row r="46" spans="1:26" s="241" customFormat="1">
      <c r="A46" s="236" t="s">
        <v>226</v>
      </c>
      <c r="B46" s="237" t="s">
        <v>732</v>
      </c>
      <c r="C46" s="237">
        <v>1078259</v>
      </c>
      <c r="D46" s="237"/>
      <c r="E46" s="237">
        <v>1596370</v>
      </c>
      <c r="F46" s="237">
        <v>44162</v>
      </c>
      <c r="G46" s="237"/>
      <c r="H46" s="237"/>
      <c r="I46" s="237"/>
      <c r="J46" s="237">
        <v>2718791</v>
      </c>
      <c r="K46" s="239"/>
      <c r="L46" s="237"/>
      <c r="M46" s="237"/>
      <c r="N46" s="237">
        <v>384253</v>
      </c>
      <c r="O46" s="237">
        <v>577970</v>
      </c>
      <c r="P46" s="239">
        <v>255905</v>
      </c>
      <c r="Q46" s="237">
        <v>1218128</v>
      </c>
      <c r="R46" s="248">
        <v>148193</v>
      </c>
      <c r="S46" s="240"/>
      <c r="T46" s="226">
        <v>148193</v>
      </c>
      <c r="U46" s="226"/>
      <c r="V46" s="226"/>
      <c r="W46" s="226"/>
      <c r="X46" s="226"/>
      <c r="Y46" s="226"/>
      <c r="Z46" s="226"/>
    </row>
    <row r="47" spans="1:26" s="241" customFormat="1">
      <c r="A47" s="242"/>
      <c r="B47" s="243" t="s">
        <v>733</v>
      </c>
      <c r="C47" s="243">
        <v>1057814</v>
      </c>
      <c r="D47" s="243"/>
      <c r="E47" s="243">
        <v>1550869</v>
      </c>
      <c r="F47" s="243">
        <v>43504</v>
      </c>
      <c r="G47" s="243"/>
      <c r="H47" s="243"/>
      <c r="I47" s="243"/>
      <c r="J47" s="243">
        <v>2652187</v>
      </c>
      <c r="K47" s="245"/>
      <c r="L47" s="243"/>
      <c r="M47" s="243"/>
      <c r="N47" s="243">
        <v>380140</v>
      </c>
      <c r="O47" s="243">
        <v>570928</v>
      </c>
      <c r="P47" s="245">
        <v>234291</v>
      </c>
      <c r="Q47" s="243">
        <v>1185359</v>
      </c>
      <c r="R47" s="249">
        <v>149961</v>
      </c>
      <c r="S47" s="246"/>
      <c r="T47" s="226">
        <v>149961</v>
      </c>
      <c r="U47" s="226"/>
      <c r="V47" s="226"/>
      <c r="W47" s="226"/>
      <c r="X47" s="226"/>
      <c r="Y47" s="226"/>
      <c r="Z47" s="226"/>
    </row>
    <row r="48" spans="1:26" s="241" customFormat="1">
      <c r="A48" s="242"/>
      <c r="B48" s="237" t="s">
        <v>734</v>
      </c>
      <c r="C48" s="237">
        <v>101048</v>
      </c>
      <c r="D48" s="237">
        <v>0</v>
      </c>
      <c r="E48" s="237">
        <v>313122</v>
      </c>
      <c r="F48" s="237">
        <v>13526</v>
      </c>
      <c r="G48" s="237">
        <v>0</v>
      </c>
      <c r="H48" s="237">
        <v>0</v>
      </c>
      <c r="I48" s="237">
        <v>0</v>
      </c>
      <c r="J48" s="237">
        <v>427696</v>
      </c>
      <c r="K48" s="239">
        <v>0</v>
      </c>
      <c r="L48" s="237">
        <v>0</v>
      </c>
      <c r="M48" s="237">
        <v>0</v>
      </c>
      <c r="N48" s="237">
        <v>128691</v>
      </c>
      <c r="O48" s="237">
        <v>258524</v>
      </c>
      <c r="P48" s="239">
        <v>108312</v>
      </c>
      <c r="Q48" s="237">
        <v>495527</v>
      </c>
      <c r="R48" s="248">
        <v>46886</v>
      </c>
      <c r="S48" s="240">
        <v>0</v>
      </c>
      <c r="T48" s="226">
        <v>46886</v>
      </c>
      <c r="U48" s="226">
        <v>0</v>
      </c>
      <c r="V48" s="226">
        <v>0</v>
      </c>
      <c r="W48" s="226"/>
      <c r="X48" s="226"/>
      <c r="Y48" s="226"/>
      <c r="Z48" s="226"/>
    </row>
    <row r="49" spans="1:26" s="241" customFormat="1">
      <c r="A49" s="242"/>
      <c r="B49" s="243" t="s">
        <v>735</v>
      </c>
      <c r="C49" s="243">
        <v>114863</v>
      </c>
      <c r="D49" s="243">
        <v>0</v>
      </c>
      <c r="E49" s="243">
        <v>334952</v>
      </c>
      <c r="F49" s="243">
        <v>13003</v>
      </c>
      <c r="G49" s="243">
        <v>0</v>
      </c>
      <c r="H49" s="243">
        <v>0</v>
      </c>
      <c r="I49" s="243">
        <v>0</v>
      </c>
      <c r="J49" s="243">
        <v>462818</v>
      </c>
      <c r="K49" s="245">
        <v>0</v>
      </c>
      <c r="L49" s="243">
        <v>0</v>
      </c>
      <c r="M49" s="243">
        <v>0</v>
      </c>
      <c r="N49" s="243">
        <v>134765</v>
      </c>
      <c r="O49" s="243">
        <v>269013</v>
      </c>
      <c r="P49" s="245">
        <v>113493</v>
      </c>
      <c r="Q49" s="243">
        <v>517271</v>
      </c>
      <c r="R49" s="249">
        <v>47115</v>
      </c>
      <c r="S49" s="246">
        <v>0</v>
      </c>
      <c r="T49" s="226">
        <v>47115</v>
      </c>
      <c r="U49" s="226">
        <v>0</v>
      </c>
      <c r="V49" s="226">
        <v>0</v>
      </c>
      <c r="W49" s="226"/>
      <c r="X49" s="226"/>
      <c r="Y49" s="226"/>
      <c r="Z49" s="226"/>
    </row>
    <row r="50" spans="1:26" s="241" customFormat="1">
      <c r="A50" s="242"/>
      <c r="B50" s="237" t="s">
        <v>736</v>
      </c>
      <c r="C50" s="237">
        <v>161220</v>
      </c>
      <c r="D50" s="237"/>
      <c r="E50" s="237">
        <v>155801</v>
      </c>
      <c r="F50" s="237">
        <v>2422</v>
      </c>
      <c r="G50" s="237"/>
      <c r="H50" s="237"/>
      <c r="I50" s="237"/>
      <c r="J50" s="237">
        <v>319443</v>
      </c>
      <c r="K50" s="239"/>
      <c r="L50" s="237"/>
      <c r="M50" s="237"/>
      <c r="N50" s="237">
        <v>0</v>
      </c>
      <c r="O50" s="237">
        <v>0</v>
      </c>
      <c r="P50" s="239">
        <v>0</v>
      </c>
      <c r="Q50" s="237">
        <v>0</v>
      </c>
      <c r="R50" s="248">
        <v>0</v>
      </c>
      <c r="S50" s="240"/>
      <c r="T50" s="226">
        <v>0</v>
      </c>
      <c r="U50" s="226"/>
      <c r="V50" s="226"/>
      <c r="W50" s="226"/>
      <c r="X50" s="226"/>
      <c r="Y50" s="226"/>
      <c r="Z50" s="226"/>
    </row>
    <row r="51" spans="1:26" s="241" customFormat="1">
      <c r="A51" s="242"/>
      <c r="B51" s="243" t="s">
        <v>737</v>
      </c>
      <c r="C51" s="243">
        <v>164016</v>
      </c>
      <c r="D51" s="243"/>
      <c r="E51" s="243">
        <v>154624</v>
      </c>
      <c r="F51" s="243">
        <v>1885</v>
      </c>
      <c r="G51" s="243"/>
      <c r="H51" s="243"/>
      <c r="I51" s="243"/>
      <c r="J51" s="243">
        <v>320525</v>
      </c>
      <c r="K51" s="245"/>
      <c r="L51" s="243"/>
      <c r="M51" s="243"/>
      <c r="N51" s="243">
        <v>0</v>
      </c>
      <c r="O51" s="243">
        <v>0</v>
      </c>
      <c r="P51" s="245">
        <v>0</v>
      </c>
      <c r="Q51" s="243">
        <v>0</v>
      </c>
      <c r="R51" s="249">
        <v>0</v>
      </c>
      <c r="S51" s="246"/>
      <c r="T51" s="226">
        <v>0</v>
      </c>
      <c r="U51" s="226"/>
      <c r="V51" s="226"/>
      <c r="W51" s="226"/>
      <c r="X51" s="226"/>
      <c r="Y51" s="226"/>
      <c r="Z51" s="226"/>
    </row>
    <row r="52" spans="1:26" s="241" customFormat="1">
      <c r="A52" s="242"/>
      <c r="B52" s="237" t="s">
        <v>738</v>
      </c>
      <c r="C52" s="237">
        <v>34381</v>
      </c>
      <c r="D52" s="237">
        <v>0</v>
      </c>
      <c r="E52" s="237">
        <v>79746</v>
      </c>
      <c r="F52" s="237">
        <v>463</v>
      </c>
      <c r="G52" s="237">
        <v>0</v>
      </c>
      <c r="H52" s="237">
        <v>0</v>
      </c>
      <c r="I52" s="237">
        <v>0</v>
      </c>
      <c r="J52" s="237">
        <v>114590</v>
      </c>
      <c r="K52" s="239">
        <v>0</v>
      </c>
      <c r="L52" s="237">
        <v>0</v>
      </c>
      <c r="M52" s="237">
        <v>0</v>
      </c>
      <c r="N52" s="237">
        <v>0</v>
      </c>
      <c r="O52" s="237">
        <v>0</v>
      </c>
      <c r="P52" s="239">
        <v>0</v>
      </c>
      <c r="Q52" s="237">
        <v>0</v>
      </c>
      <c r="R52" s="248">
        <v>0</v>
      </c>
      <c r="S52" s="240">
        <v>0</v>
      </c>
      <c r="T52" s="226">
        <v>0</v>
      </c>
      <c r="U52" s="226">
        <v>0</v>
      </c>
      <c r="V52" s="226">
        <v>0</v>
      </c>
      <c r="W52" s="226"/>
      <c r="X52" s="226"/>
      <c r="Y52" s="226"/>
      <c r="Z52" s="226"/>
    </row>
    <row r="53" spans="1:26" s="241" customFormat="1">
      <c r="A53" s="247"/>
      <c r="B53" s="243" t="s">
        <v>739</v>
      </c>
      <c r="C53" s="243">
        <v>38829</v>
      </c>
      <c r="D53" s="243">
        <v>0</v>
      </c>
      <c r="E53" s="243">
        <v>83918</v>
      </c>
      <c r="F53" s="243">
        <v>390</v>
      </c>
      <c r="G53" s="243">
        <v>0</v>
      </c>
      <c r="H53" s="243">
        <v>0</v>
      </c>
      <c r="I53" s="243">
        <v>0</v>
      </c>
      <c r="J53" s="243">
        <v>123137</v>
      </c>
      <c r="K53" s="245">
        <v>0</v>
      </c>
      <c r="L53" s="243">
        <v>0</v>
      </c>
      <c r="M53" s="243">
        <v>0</v>
      </c>
      <c r="N53" s="243">
        <v>0</v>
      </c>
      <c r="O53" s="243">
        <v>0</v>
      </c>
      <c r="P53" s="245">
        <v>0</v>
      </c>
      <c r="Q53" s="243">
        <v>0</v>
      </c>
      <c r="R53" s="249">
        <v>0</v>
      </c>
      <c r="S53" s="246">
        <v>0</v>
      </c>
      <c r="T53" s="226">
        <v>0</v>
      </c>
      <c r="U53" s="226">
        <v>0</v>
      </c>
      <c r="V53" s="226">
        <v>0</v>
      </c>
      <c r="W53" s="226"/>
      <c r="X53" s="226"/>
      <c r="Y53" s="226"/>
      <c r="Z53" s="226"/>
    </row>
    <row r="54" spans="1:26" s="241" customFormat="1">
      <c r="A54" s="236" t="s">
        <v>252</v>
      </c>
      <c r="B54" s="237" t="s">
        <v>732</v>
      </c>
      <c r="C54" s="237">
        <v>707259.00000000023</v>
      </c>
      <c r="D54" s="237">
        <v>846337.99999999965</v>
      </c>
      <c r="E54" s="237">
        <v>844545.00000000047</v>
      </c>
      <c r="F54" s="237">
        <v>553184.00000000012</v>
      </c>
      <c r="G54" s="237">
        <v>49569.999999999964</v>
      </c>
      <c r="H54" s="237">
        <v>72677</v>
      </c>
      <c r="I54" s="237">
        <v>0</v>
      </c>
      <c r="J54" s="237">
        <v>3073573.0000000005</v>
      </c>
      <c r="K54" s="239"/>
      <c r="L54" s="237"/>
      <c r="M54" s="237"/>
      <c r="N54" s="237">
        <v>576043</v>
      </c>
      <c r="O54" s="237">
        <v>276698.50000000029</v>
      </c>
      <c r="P54" s="239">
        <v>147766</v>
      </c>
      <c r="Q54" s="237">
        <v>1000507.5000000002</v>
      </c>
      <c r="R54" s="248">
        <v>279893.49999999994</v>
      </c>
      <c r="S54" s="240"/>
      <c r="T54" s="226">
        <v>279893.49999999994</v>
      </c>
      <c r="U54" s="226"/>
      <c r="V54" s="226"/>
      <c r="W54" s="226"/>
      <c r="X54" s="226"/>
      <c r="Y54" s="226"/>
      <c r="Z54" s="226"/>
    </row>
    <row r="55" spans="1:26" s="241" customFormat="1">
      <c r="A55" s="242"/>
      <c r="B55" s="243" t="s">
        <v>733</v>
      </c>
      <c r="C55" s="243">
        <v>697351.99999999977</v>
      </c>
      <c r="D55" s="243">
        <v>840339.00000000012</v>
      </c>
      <c r="E55" s="243">
        <v>856987.99999999907</v>
      </c>
      <c r="F55" s="243">
        <v>574917.99999999953</v>
      </c>
      <c r="G55" s="243">
        <v>48565.000000000015</v>
      </c>
      <c r="H55" s="243">
        <v>74440</v>
      </c>
      <c r="I55" s="243">
        <v>0</v>
      </c>
      <c r="J55" s="243">
        <v>3092601.9999999986</v>
      </c>
      <c r="K55" s="245"/>
      <c r="L55" s="243"/>
      <c r="M55" s="243"/>
      <c r="N55" s="243">
        <v>584470.99999999977</v>
      </c>
      <c r="O55" s="243">
        <v>279008.00000000041</v>
      </c>
      <c r="P55" s="245">
        <v>174002.00000000003</v>
      </c>
      <c r="Q55" s="243">
        <v>1037481.0000000002</v>
      </c>
      <c r="R55" s="249">
        <v>250479.99999999997</v>
      </c>
      <c r="S55" s="246"/>
      <c r="T55" s="226">
        <v>250479.99999999997</v>
      </c>
      <c r="U55" s="226"/>
      <c r="V55" s="226"/>
      <c r="W55" s="226"/>
      <c r="X55" s="226"/>
      <c r="Y55" s="226"/>
      <c r="Z55" s="226"/>
    </row>
    <row r="56" spans="1:26" s="241" customFormat="1">
      <c r="A56" s="242"/>
      <c r="B56" s="237" t="s">
        <v>734</v>
      </c>
      <c r="C56" s="237">
        <v>21853.508426966298</v>
      </c>
      <c r="D56" s="237">
        <v>103449.4122275316</v>
      </c>
      <c r="E56" s="237">
        <v>165856.62784189143</v>
      </c>
      <c r="F56" s="237">
        <v>158680.03870814751</v>
      </c>
      <c r="G56" s="237">
        <v>6093.4829268292697</v>
      </c>
      <c r="H56" s="237">
        <v>25814.8704</v>
      </c>
      <c r="I56" s="237">
        <v>0</v>
      </c>
      <c r="J56" s="237">
        <v>481747.94053136604</v>
      </c>
      <c r="K56" s="239">
        <v>0</v>
      </c>
      <c r="L56" s="237">
        <v>0</v>
      </c>
      <c r="M56" s="237">
        <v>0</v>
      </c>
      <c r="N56" s="237">
        <v>114513.19370365649</v>
      </c>
      <c r="O56" s="237">
        <v>44059.415483160294</v>
      </c>
      <c r="P56" s="239">
        <v>42564.355222197599</v>
      </c>
      <c r="Q56" s="237">
        <v>201136.96440901438</v>
      </c>
      <c r="R56" s="248">
        <v>41844.970488464045</v>
      </c>
      <c r="S56" s="240">
        <v>0</v>
      </c>
      <c r="T56" s="226">
        <v>41844.970488464045</v>
      </c>
      <c r="U56" s="226">
        <v>0</v>
      </c>
      <c r="V56" s="226">
        <v>0</v>
      </c>
      <c r="W56" s="226"/>
      <c r="X56" s="226"/>
      <c r="Y56" s="226"/>
      <c r="Z56" s="226"/>
    </row>
    <row r="57" spans="1:26" s="241" customFormat="1">
      <c r="A57" s="242"/>
      <c r="B57" s="243" t="s">
        <v>735</v>
      </c>
      <c r="C57" s="243">
        <v>25084.6043165468</v>
      </c>
      <c r="D57" s="243">
        <v>107749.6476658301</v>
      </c>
      <c r="E57" s="243">
        <v>167076.85480734211</v>
      </c>
      <c r="F57" s="243">
        <v>158654.23979978787</v>
      </c>
      <c r="G57" s="243">
        <v>6866.7725409836103</v>
      </c>
      <c r="H57" s="243">
        <v>27935.301818181801</v>
      </c>
      <c r="I57" s="243">
        <v>0</v>
      </c>
      <c r="J57" s="243">
        <v>493367.42094867228</v>
      </c>
      <c r="K57" s="245">
        <v>0</v>
      </c>
      <c r="L57" s="243">
        <v>0</v>
      </c>
      <c r="M57" s="243">
        <v>0</v>
      </c>
      <c r="N57" s="243">
        <v>127846.44274067221</v>
      </c>
      <c r="O57" s="243">
        <v>55471.925548790205</v>
      </c>
      <c r="P57" s="245">
        <v>46255.566385984035</v>
      </c>
      <c r="Q57" s="243">
        <v>229573.93467544645</v>
      </c>
      <c r="R57" s="249">
        <v>47067.797055851275</v>
      </c>
      <c r="S57" s="246">
        <v>0</v>
      </c>
      <c r="T57" s="226">
        <v>47067.797055851275</v>
      </c>
      <c r="U57" s="226">
        <v>0</v>
      </c>
      <c r="V57" s="226">
        <v>0</v>
      </c>
      <c r="W57" s="226"/>
      <c r="X57" s="226"/>
      <c r="Y57" s="226"/>
      <c r="Z57" s="226"/>
    </row>
    <row r="58" spans="1:26" s="241" customFormat="1">
      <c r="A58" s="242"/>
      <c r="B58" s="237" t="s">
        <v>736</v>
      </c>
      <c r="C58" s="237">
        <v>133260.99999999953</v>
      </c>
      <c r="D58" s="237">
        <v>74535.999999999927</v>
      </c>
      <c r="E58" s="237">
        <v>78509.000000000058</v>
      </c>
      <c r="F58" s="237">
        <v>92798.000000000058</v>
      </c>
      <c r="G58" s="237">
        <v>9558</v>
      </c>
      <c r="H58" s="237">
        <v>0</v>
      </c>
      <c r="I58" s="237">
        <v>0</v>
      </c>
      <c r="J58" s="237">
        <v>388661.99999999959</v>
      </c>
      <c r="K58" s="239"/>
      <c r="L58" s="237"/>
      <c r="M58" s="237"/>
      <c r="N58" s="237">
        <v>0</v>
      </c>
      <c r="O58" s="237">
        <v>0</v>
      </c>
      <c r="P58" s="239">
        <v>0</v>
      </c>
      <c r="Q58" s="237">
        <v>0</v>
      </c>
      <c r="R58" s="248">
        <v>0</v>
      </c>
      <c r="S58" s="240"/>
      <c r="T58" s="226">
        <v>0</v>
      </c>
      <c r="U58" s="226"/>
      <c r="V58" s="226"/>
      <c r="W58" s="226"/>
      <c r="X58" s="226"/>
      <c r="Y58" s="226"/>
      <c r="Z58" s="226"/>
    </row>
    <row r="59" spans="1:26" s="241" customFormat="1">
      <c r="A59" s="242"/>
      <c r="B59" s="243" t="s">
        <v>737</v>
      </c>
      <c r="C59" s="243">
        <v>137669.49999999959</v>
      </c>
      <c r="D59" s="243">
        <v>78522.999999999927</v>
      </c>
      <c r="E59" s="243">
        <v>76911.999999999985</v>
      </c>
      <c r="F59" s="243">
        <v>114669.99999999997</v>
      </c>
      <c r="G59" s="243">
        <v>9486</v>
      </c>
      <c r="H59" s="243">
        <v>0</v>
      </c>
      <c r="I59" s="243">
        <v>0</v>
      </c>
      <c r="J59" s="243">
        <v>417260.49999999953</v>
      </c>
      <c r="K59" s="245"/>
      <c r="L59" s="243"/>
      <c r="M59" s="243"/>
      <c r="N59" s="243">
        <v>0</v>
      </c>
      <c r="O59" s="243">
        <v>0</v>
      </c>
      <c r="P59" s="245">
        <v>0</v>
      </c>
      <c r="Q59" s="243">
        <v>0</v>
      </c>
      <c r="R59" s="249">
        <v>0</v>
      </c>
      <c r="S59" s="246"/>
      <c r="T59" s="226">
        <v>0</v>
      </c>
      <c r="U59" s="226"/>
      <c r="V59" s="226"/>
      <c r="W59" s="226"/>
      <c r="X59" s="226"/>
      <c r="Y59" s="226"/>
      <c r="Z59" s="226"/>
    </row>
    <row r="60" spans="1:26" s="241" customFormat="1">
      <c r="A60" s="242"/>
      <c r="B60" s="237" t="s">
        <v>738</v>
      </c>
      <c r="C60" s="237">
        <v>5784.9334241775396</v>
      </c>
      <c r="D60" s="237">
        <v>12530.648206970331</v>
      </c>
      <c r="E60" s="237">
        <v>30440.624580015541</v>
      </c>
      <c r="F60" s="237">
        <v>51785.834989833449</v>
      </c>
      <c r="G60" s="237">
        <v>1327.5</v>
      </c>
      <c r="H60" s="237">
        <v>0</v>
      </c>
      <c r="I60" s="237">
        <v>0</v>
      </c>
      <c r="J60" s="237">
        <v>101869.54120099686</v>
      </c>
      <c r="K60" s="239">
        <v>0</v>
      </c>
      <c r="L60" s="237">
        <v>0</v>
      </c>
      <c r="M60" s="237">
        <v>0</v>
      </c>
      <c r="N60" s="237">
        <v>0</v>
      </c>
      <c r="O60" s="237">
        <v>0</v>
      </c>
      <c r="P60" s="239">
        <v>0</v>
      </c>
      <c r="Q60" s="237">
        <v>0</v>
      </c>
      <c r="R60" s="248">
        <v>0</v>
      </c>
      <c r="S60" s="240">
        <v>0</v>
      </c>
      <c r="T60" s="226">
        <v>0</v>
      </c>
      <c r="U60" s="226">
        <v>0</v>
      </c>
      <c r="V60" s="226">
        <v>0</v>
      </c>
      <c r="W60" s="226"/>
      <c r="X60" s="226"/>
      <c r="Y60" s="226"/>
      <c r="Z60" s="226"/>
    </row>
    <row r="61" spans="1:26" s="241" customFormat="1">
      <c r="A61" s="247"/>
      <c r="B61" s="243" t="s">
        <v>739</v>
      </c>
      <c r="C61" s="243">
        <v>8064.9970708845904</v>
      </c>
      <c r="D61" s="243">
        <v>13916.998361045331</v>
      </c>
      <c r="E61" s="243">
        <v>32347.08339375833</v>
      </c>
      <c r="F61" s="243">
        <v>63984.011587648456</v>
      </c>
      <c r="G61" s="243">
        <v>1267.5258620689699</v>
      </c>
      <c r="H61" s="243">
        <v>0</v>
      </c>
      <c r="I61" s="243">
        <v>0</v>
      </c>
      <c r="J61" s="243">
        <v>119580.61627540569</v>
      </c>
      <c r="K61" s="245">
        <v>0</v>
      </c>
      <c r="L61" s="243">
        <v>0</v>
      </c>
      <c r="M61" s="243">
        <v>0</v>
      </c>
      <c r="N61" s="243">
        <v>0</v>
      </c>
      <c r="O61" s="243">
        <v>0</v>
      </c>
      <c r="P61" s="245">
        <v>0</v>
      </c>
      <c r="Q61" s="243">
        <v>0</v>
      </c>
      <c r="R61" s="249">
        <v>0</v>
      </c>
      <c r="S61" s="246">
        <v>0</v>
      </c>
      <c r="T61" s="226">
        <v>0</v>
      </c>
      <c r="U61" s="226">
        <v>0</v>
      </c>
      <c r="V61" s="226">
        <v>0</v>
      </c>
      <c r="W61" s="226"/>
      <c r="X61" s="226"/>
      <c r="Y61" s="226"/>
      <c r="Z61" s="226"/>
    </row>
    <row r="62" spans="1:26" s="241" customFormat="1">
      <c r="A62" s="236" t="s">
        <v>283</v>
      </c>
      <c r="B62" s="237" t="s">
        <v>732</v>
      </c>
      <c r="C62" s="237">
        <v>853125</v>
      </c>
      <c r="D62" s="237">
        <v>501329</v>
      </c>
      <c r="E62" s="237">
        <v>611968</v>
      </c>
      <c r="F62" s="237">
        <v>586463</v>
      </c>
      <c r="G62" s="237">
        <v>63125</v>
      </c>
      <c r="H62" s="237">
        <v>48855</v>
      </c>
      <c r="I62" s="237">
        <v>816016</v>
      </c>
      <c r="J62" s="237">
        <v>3480881</v>
      </c>
      <c r="K62" s="239"/>
      <c r="L62" s="237"/>
      <c r="M62" s="237"/>
      <c r="N62" s="237">
        <v>2000184</v>
      </c>
      <c r="O62" s="237">
        <v>496675.5</v>
      </c>
      <c r="P62" s="239">
        <v>149955.5</v>
      </c>
      <c r="Q62" s="237">
        <v>2646815</v>
      </c>
      <c r="R62" s="248"/>
      <c r="S62" s="240"/>
      <c r="T62" s="226"/>
      <c r="U62" s="226"/>
      <c r="V62" s="226"/>
      <c r="W62" s="226"/>
      <c r="X62" s="226"/>
      <c r="Y62" s="226"/>
      <c r="Z62" s="226"/>
    </row>
    <row r="63" spans="1:26" s="241" customFormat="1">
      <c r="A63" s="242"/>
      <c r="B63" s="243" t="s">
        <v>733</v>
      </c>
      <c r="C63" s="243">
        <v>864022</v>
      </c>
      <c r="D63" s="243">
        <v>512704</v>
      </c>
      <c r="E63" s="243">
        <v>695006.5</v>
      </c>
      <c r="F63" s="243">
        <v>494086</v>
      </c>
      <c r="G63" s="243">
        <v>61715</v>
      </c>
      <c r="H63" s="243">
        <v>48085.5</v>
      </c>
      <c r="I63" s="243">
        <v>845319</v>
      </c>
      <c r="J63" s="243">
        <v>3520938</v>
      </c>
      <c r="K63" s="245"/>
      <c r="L63" s="243"/>
      <c r="M63" s="243"/>
      <c r="N63" s="243">
        <v>1937952</v>
      </c>
      <c r="O63" s="243">
        <v>484387.9</v>
      </c>
      <c r="P63" s="245">
        <v>144004</v>
      </c>
      <c r="Q63" s="243">
        <v>2566343.9</v>
      </c>
      <c r="R63" s="249"/>
      <c r="S63" s="246"/>
      <c r="T63" s="226"/>
      <c r="U63" s="226"/>
      <c r="V63" s="226"/>
      <c r="W63" s="226"/>
      <c r="X63" s="226"/>
      <c r="Y63" s="226"/>
      <c r="Z63" s="226"/>
    </row>
    <row r="64" spans="1:26" s="241" customFormat="1">
      <c r="A64" s="242"/>
      <c r="B64" s="237" t="s">
        <v>734</v>
      </c>
      <c r="C64" s="237">
        <v>35948</v>
      </c>
      <c r="D64" s="237">
        <v>56415</v>
      </c>
      <c r="E64" s="237">
        <v>81711</v>
      </c>
      <c r="F64" s="237">
        <v>87850</v>
      </c>
      <c r="G64" s="237">
        <v>13013</v>
      </c>
      <c r="H64" s="237">
        <v>0</v>
      </c>
      <c r="I64" s="237">
        <v>752590.5</v>
      </c>
      <c r="J64" s="237">
        <v>1027527.5</v>
      </c>
      <c r="K64" s="239">
        <v>0</v>
      </c>
      <c r="L64" s="237">
        <v>0</v>
      </c>
      <c r="M64" s="237">
        <v>0</v>
      </c>
      <c r="N64" s="237">
        <v>337891</v>
      </c>
      <c r="O64" s="237">
        <v>131005</v>
      </c>
      <c r="P64" s="239">
        <v>34364</v>
      </c>
      <c r="Q64" s="237">
        <v>503260</v>
      </c>
      <c r="R64" s="248">
        <v>0</v>
      </c>
      <c r="S64" s="240">
        <v>0</v>
      </c>
      <c r="T64" s="226">
        <v>0</v>
      </c>
      <c r="U64" s="226">
        <v>0</v>
      </c>
      <c r="V64" s="226">
        <v>0</v>
      </c>
      <c r="W64" s="226"/>
      <c r="X64" s="226"/>
      <c r="Y64" s="226"/>
      <c r="Z64" s="226"/>
    </row>
    <row r="65" spans="1:26" s="241" customFormat="1">
      <c r="A65" s="242"/>
      <c r="B65" s="243" t="s">
        <v>735</v>
      </c>
      <c r="C65" s="243">
        <v>40504</v>
      </c>
      <c r="D65" s="243">
        <v>56680</v>
      </c>
      <c r="E65" s="243">
        <v>89834</v>
      </c>
      <c r="F65" s="243">
        <v>87221</v>
      </c>
      <c r="G65" s="243">
        <v>13074</v>
      </c>
      <c r="H65" s="243">
        <v>72</v>
      </c>
      <c r="I65" s="243">
        <v>784493.5</v>
      </c>
      <c r="J65" s="243">
        <v>1071878.5</v>
      </c>
      <c r="K65" s="245">
        <v>0</v>
      </c>
      <c r="L65" s="243">
        <v>0</v>
      </c>
      <c r="M65" s="243">
        <v>0</v>
      </c>
      <c r="N65" s="243">
        <v>355291</v>
      </c>
      <c r="O65" s="243">
        <v>124503</v>
      </c>
      <c r="P65" s="245">
        <v>37728</v>
      </c>
      <c r="Q65" s="243">
        <v>517522</v>
      </c>
      <c r="R65" s="249">
        <v>0</v>
      </c>
      <c r="S65" s="246">
        <v>0</v>
      </c>
      <c r="T65" s="226">
        <v>0</v>
      </c>
      <c r="U65" s="226">
        <v>0</v>
      </c>
      <c r="V65" s="226">
        <v>0</v>
      </c>
      <c r="W65" s="226"/>
      <c r="X65" s="226"/>
      <c r="Y65" s="226"/>
      <c r="Z65" s="226"/>
    </row>
    <row r="66" spans="1:26" s="241" customFormat="1">
      <c r="A66" s="242"/>
      <c r="B66" s="237" t="s">
        <v>736</v>
      </c>
      <c r="C66" s="237">
        <v>158715.5</v>
      </c>
      <c r="D66" s="237">
        <v>57603</v>
      </c>
      <c r="E66" s="237">
        <v>88559</v>
      </c>
      <c r="F66" s="237">
        <v>60330</v>
      </c>
      <c r="G66" s="237">
        <v>5008</v>
      </c>
      <c r="H66" s="237">
        <v>1409</v>
      </c>
      <c r="I66" s="237">
        <v>255175</v>
      </c>
      <c r="J66" s="237">
        <v>626799.5</v>
      </c>
      <c r="K66" s="239"/>
      <c r="L66" s="237"/>
      <c r="M66" s="237"/>
      <c r="N66" s="237">
        <v>0</v>
      </c>
      <c r="O66" s="237">
        <v>0</v>
      </c>
      <c r="P66" s="239">
        <v>0</v>
      </c>
      <c r="Q66" s="237">
        <v>0</v>
      </c>
      <c r="R66" s="248"/>
      <c r="S66" s="240"/>
      <c r="T66" s="226"/>
      <c r="U66" s="226"/>
      <c r="V66" s="226"/>
      <c r="W66" s="226"/>
      <c r="X66" s="226"/>
      <c r="Y66" s="226"/>
      <c r="Z66" s="226"/>
    </row>
    <row r="67" spans="1:26" s="241" customFormat="1">
      <c r="A67" s="242"/>
      <c r="B67" s="243" t="s">
        <v>737</v>
      </c>
      <c r="C67" s="243">
        <v>159015</v>
      </c>
      <c r="D67" s="243">
        <v>58309</v>
      </c>
      <c r="E67" s="243">
        <v>60241</v>
      </c>
      <c r="F67" s="243">
        <v>84494.5</v>
      </c>
      <c r="G67" s="243">
        <v>5201</v>
      </c>
      <c r="H67" s="243">
        <v>1333</v>
      </c>
      <c r="I67" s="243">
        <v>261591</v>
      </c>
      <c r="J67" s="243">
        <v>630184.5</v>
      </c>
      <c r="K67" s="245"/>
      <c r="L67" s="243"/>
      <c r="M67" s="243"/>
      <c r="N67" s="243">
        <v>0</v>
      </c>
      <c r="O67" s="243">
        <v>0</v>
      </c>
      <c r="P67" s="245">
        <v>0</v>
      </c>
      <c r="Q67" s="243">
        <v>0</v>
      </c>
      <c r="R67" s="249"/>
      <c r="S67" s="246"/>
      <c r="T67" s="226"/>
      <c r="U67" s="226"/>
      <c r="V67" s="226"/>
      <c r="W67" s="226"/>
      <c r="X67" s="226"/>
      <c r="Y67" s="226"/>
      <c r="Z67" s="226"/>
    </row>
    <row r="68" spans="1:26" s="241" customFormat="1">
      <c r="A68" s="242"/>
      <c r="B68" s="237" t="s">
        <v>738</v>
      </c>
      <c r="C68" s="237">
        <v>15852</v>
      </c>
      <c r="D68" s="237">
        <v>12780</v>
      </c>
      <c r="E68" s="237">
        <v>20633</v>
      </c>
      <c r="F68" s="237">
        <v>20734</v>
      </c>
      <c r="G68" s="237">
        <v>641</v>
      </c>
      <c r="H68" s="237">
        <v>0</v>
      </c>
      <c r="I68" s="237">
        <v>220645</v>
      </c>
      <c r="J68" s="237">
        <v>291285</v>
      </c>
      <c r="K68" s="239">
        <v>0</v>
      </c>
      <c r="L68" s="237">
        <v>0</v>
      </c>
      <c r="M68" s="237">
        <v>0</v>
      </c>
      <c r="N68" s="237">
        <v>0</v>
      </c>
      <c r="O68" s="237">
        <v>0</v>
      </c>
      <c r="P68" s="239">
        <v>0</v>
      </c>
      <c r="Q68" s="237">
        <v>0</v>
      </c>
      <c r="R68" s="248">
        <v>0</v>
      </c>
      <c r="S68" s="240">
        <v>0</v>
      </c>
      <c r="T68" s="226">
        <v>0</v>
      </c>
      <c r="U68" s="226">
        <v>0</v>
      </c>
      <c r="V68" s="226">
        <v>0</v>
      </c>
      <c r="W68" s="226"/>
      <c r="X68" s="226"/>
      <c r="Y68" s="226"/>
      <c r="Z68" s="226"/>
    </row>
    <row r="69" spans="1:26" s="241" customFormat="1">
      <c r="A69" s="247"/>
      <c r="B69" s="243" t="s">
        <v>739</v>
      </c>
      <c r="C69" s="243">
        <v>19734</v>
      </c>
      <c r="D69" s="243">
        <v>12853</v>
      </c>
      <c r="E69" s="243">
        <v>13229</v>
      </c>
      <c r="F69" s="243">
        <v>29617</v>
      </c>
      <c r="G69" s="243">
        <v>676</v>
      </c>
      <c r="H69" s="243">
        <v>0</v>
      </c>
      <c r="I69" s="243">
        <v>225203</v>
      </c>
      <c r="J69" s="243">
        <v>301312</v>
      </c>
      <c r="K69" s="245">
        <v>0</v>
      </c>
      <c r="L69" s="243">
        <v>0</v>
      </c>
      <c r="M69" s="243">
        <v>0</v>
      </c>
      <c r="N69" s="243">
        <v>0</v>
      </c>
      <c r="O69" s="243">
        <v>0</v>
      </c>
      <c r="P69" s="245">
        <v>0</v>
      </c>
      <c r="Q69" s="243">
        <v>0</v>
      </c>
      <c r="R69" s="249">
        <v>0</v>
      </c>
      <c r="S69" s="246">
        <v>0</v>
      </c>
      <c r="T69" s="226">
        <v>0</v>
      </c>
      <c r="U69" s="226">
        <v>0</v>
      </c>
      <c r="V69" s="226">
        <v>0</v>
      </c>
      <c r="W69" s="226"/>
      <c r="X69" s="226"/>
      <c r="Y69" s="226"/>
      <c r="Z69" s="226"/>
    </row>
    <row r="70" spans="1:26" s="241" customFormat="1">
      <c r="A70" s="236" t="s">
        <v>313</v>
      </c>
      <c r="B70" s="237" t="s">
        <v>732</v>
      </c>
      <c r="C70" s="237">
        <v>1406063</v>
      </c>
      <c r="D70" s="237">
        <v>160290</v>
      </c>
      <c r="E70" s="237"/>
      <c r="F70" s="237">
        <v>214887</v>
      </c>
      <c r="G70" s="237">
        <v>71874</v>
      </c>
      <c r="H70" s="237"/>
      <c r="I70" s="237"/>
      <c r="J70" s="237">
        <v>1853114</v>
      </c>
      <c r="K70" s="239"/>
      <c r="L70" s="237"/>
      <c r="M70" s="237"/>
      <c r="N70" s="237">
        <v>1020516</v>
      </c>
      <c r="O70" s="237">
        <v>760430</v>
      </c>
      <c r="P70" s="239">
        <v>105547</v>
      </c>
      <c r="Q70" s="237">
        <v>1886493</v>
      </c>
      <c r="R70" s="248"/>
      <c r="S70" s="240"/>
      <c r="T70" s="226"/>
      <c r="U70" s="226"/>
      <c r="V70" s="226"/>
      <c r="W70" s="226"/>
      <c r="X70" s="226"/>
      <c r="Y70" s="226"/>
      <c r="Z70" s="226"/>
    </row>
    <row r="71" spans="1:26" s="241" customFormat="1">
      <c r="A71" s="242"/>
      <c r="B71" s="243" t="s">
        <v>733</v>
      </c>
      <c r="C71" s="243">
        <v>1409427</v>
      </c>
      <c r="D71" s="243">
        <v>151243</v>
      </c>
      <c r="E71" s="243"/>
      <c r="F71" s="243">
        <v>218708</v>
      </c>
      <c r="G71" s="243">
        <v>70436</v>
      </c>
      <c r="H71" s="243"/>
      <c r="I71" s="243"/>
      <c r="J71" s="243">
        <v>1849814</v>
      </c>
      <c r="K71" s="245"/>
      <c r="L71" s="243"/>
      <c r="M71" s="243"/>
      <c r="N71" s="243">
        <v>1009398</v>
      </c>
      <c r="O71" s="243">
        <v>752811</v>
      </c>
      <c r="P71" s="245">
        <v>105434</v>
      </c>
      <c r="Q71" s="243">
        <v>1867643</v>
      </c>
      <c r="R71" s="249"/>
      <c r="S71" s="246"/>
      <c r="T71" s="226"/>
      <c r="U71" s="226"/>
      <c r="V71" s="226"/>
      <c r="W71" s="226"/>
      <c r="X71" s="226"/>
      <c r="Y71" s="226"/>
      <c r="Z71" s="226"/>
    </row>
    <row r="72" spans="1:26" s="241" customFormat="1">
      <c r="A72" s="242"/>
      <c r="B72" s="237" t="s">
        <v>734</v>
      </c>
      <c r="C72" s="237">
        <v>180993</v>
      </c>
      <c r="D72" s="237">
        <v>45257</v>
      </c>
      <c r="E72" s="237">
        <v>0</v>
      </c>
      <c r="F72" s="237">
        <v>49810</v>
      </c>
      <c r="G72" s="237">
        <v>36984</v>
      </c>
      <c r="H72" s="237">
        <v>0</v>
      </c>
      <c r="I72" s="237">
        <v>0</v>
      </c>
      <c r="J72" s="237">
        <v>313044</v>
      </c>
      <c r="K72" s="239">
        <v>0</v>
      </c>
      <c r="L72" s="237">
        <v>0</v>
      </c>
      <c r="M72" s="237">
        <v>0</v>
      </c>
      <c r="N72" s="237">
        <v>279955</v>
      </c>
      <c r="O72" s="237">
        <v>187307</v>
      </c>
      <c r="P72" s="239">
        <v>19671</v>
      </c>
      <c r="Q72" s="237">
        <v>486933</v>
      </c>
      <c r="R72" s="248">
        <v>0</v>
      </c>
      <c r="S72" s="240">
        <v>0</v>
      </c>
      <c r="T72" s="226">
        <v>0</v>
      </c>
      <c r="U72" s="226">
        <v>0</v>
      </c>
      <c r="V72" s="226">
        <v>0</v>
      </c>
      <c r="W72" s="226"/>
      <c r="X72" s="226"/>
      <c r="Y72" s="226"/>
      <c r="Z72" s="226"/>
    </row>
    <row r="73" spans="1:26" s="241" customFormat="1">
      <c r="A73" s="242"/>
      <c r="B73" s="243" t="s">
        <v>735</v>
      </c>
      <c r="C73" s="243">
        <v>210506</v>
      </c>
      <c r="D73" s="243">
        <v>46735</v>
      </c>
      <c r="E73" s="243">
        <v>0</v>
      </c>
      <c r="F73" s="243">
        <v>53394</v>
      </c>
      <c r="G73" s="243">
        <v>36971</v>
      </c>
      <c r="H73" s="243">
        <v>0</v>
      </c>
      <c r="I73" s="243">
        <v>0</v>
      </c>
      <c r="J73" s="243">
        <v>347606</v>
      </c>
      <c r="K73" s="245">
        <v>0</v>
      </c>
      <c r="L73" s="243">
        <v>0</v>
      </c>
      <c r="M73" s="243">
        <v>0</v>
      </c>
      <c r="N73" s="243">
        <v>284811</v>
      </c>
      <c r="O73" s="243">
        <v>197681</v>
      </c>
      <c r="P73" s="245">
        <v>25806</v>
      </c>
      <c r="Q73" s="243">
        <v>508298</v>
      </c>
      <c r="R73" s="249">
        <v>0</v>
      </c>
      <c r="S73" s="246">
        <v>0</v>
      </c>
      <c r="T73" s="226">
        <v>0</v>
      </c>
      <c r="U73" s="226">
        <v>0</v>
      </c>
      <c r="V73" s="226">
        <v>0</v>
      </c>
      <c r="W73" s="226"/>
      <c r="X73" s="226"/>
      <c r="Y73" s="226"/>
      <c r="Z73" s="226"/>
    </row>
    <row r="74" spans="1:26" s="241" customFormat="1">
      <c r="A74" s="242"/>
      <c r="B74" s="237" t="s">
        <v>736</v>
      </c>
      <c r="C74" s="237">
        <v>173346</v>
      </c>
      <c r="D74" s="237">
        <v>31757</v>
      </c>
      <c r="E74" s="237"/>
      <c r="F74" s="237">
        <v>38852</v>
      </c>
      <c r="G74" s="237">
        <v>4648</v>
      </c>
      <c r="H74" s="237"/>
      <c r="I74" s="237"/>
      <c r="J74" s="237">
        <v>248603</v>
      </c>
      <c r="K74" s="239"/>
      <c r="L74" s="237"/>
      <c r="M74" s="237"/>
      <c r="N74" s="237">
        <v>0</v>
      </c>
      <c r="O74" s="237">
        <v>0</v>
      </c>
      <c r="P74" s="239">
        <v>0</v>
      </c>
      <c r="Q74" s="237">
        <v>0</v>
      </c>
      <c r="R74" s="248"/>
      <c r="S74" s="240"/>
      <c r="T74" s="226"/>
      <c r="U74" s="226"/>
      <c r="V74" s="226"/>
      <c r="W74" s="226"/>
      <c r="X74" s="226"/>
      <c r="Y74" s="226"/>
      <c r="Z74" s="226"/>
    </row>
    <row r="75" spans="1:26" s="241" customFormat="1">
      <c r="A75" s="242"/>
      <c r="B75" s="243" t="s">
        <v>737</v>
      </c>
      <c r="C75" s="243">
        <v>173789</v>
      </c>
      <c r="D75" s="243">
        <v>29347</v>
      </c>
      <c r="E75" s="243"/>
      <c r="F75" s="243">
        <v>35554</v>
      </c>
      <c r="G75" s="243">
        <v>4376</v>
      </c>
      <c r="H75" s="243"/>
      <c r="I75" s="243"/>
      <c r="J75" s="243">
        <v>243066</v>
      </c>
      <c r="K75" s="245"/>
      <c r="L75" s="243"/>
      <c r="M75" s="243"/>
      <c r="N75" s="243">
        <v>0</v>
      </c>
      <c r="O75" s="243">
        <v>0</v>
      </c>
      <c r="P75" s="245">
        <v>0</v>
      </c>
      <c r="Q75" s="243">
        <v>0</v>
      </c>
      <c r="R75" s="249"/>
      <c r="S75" s="246"/>
      <c r="T75" s="226"/>
      <c r="U75" s="226"/>
      <c r="V75" s="226"/>
      <c r="W75" s="226"/>
      <c r="X75" s="226"/>
      <c r="Y75" s="226"/>
      <c r="Z75" s="226"/>
    </row>
    <row r="76" spans="1:26" s="241" customFormat="1">
      <c r="A76" s="242"/>
      <c r="B76" s="237" t="s">
        <v>738</v>
      </c>
      <c r="C76" s="237">
        <v>39413</v>
      </c>
      <c r="D76" s="237">
        <v>14117</v>
      </c>
      <c r="E76" s="237">
        <v>0</v>
      </c>
      <c r="F76" s="237">
        <v>30658</v>
      </c>
      <c r="G76" s="237">
        <v>1585</v>
      </c>
      <c r="H76" s="237">
        <v>0</v>
      </c>
      <c r="I76" s="237">
        <v>0</v>
      </c>
      <c r="J76" s="237">
        <v>85773</v>
      </c>
      <c r="K76" s="239">
        <v>0</v>
      </c>
      <c r="L76" s="237">
        <v>0</v>
      </c>
      <c r="M76" s="237">
        <v>0</v>
      </c>
      <c r="N76" s="237">
        <v>0</v>
      </c>
      <c r="O76" s="237">
        <v>0</v>
      </c>
      <c r="P76" s="239">
        <v>0</v>
      </c>
      <c r="Q76" s="237">
        <v>0</v>
      </c>
      <c r="R76" s="248">
        <v>0</v>
      </c>
      <c r="S76" s="240">
        <v>0</v>
      </c>
      <c r="T76" s="226">
        <v>0</v>
      </c>
      <c r="U76" s="226">
        <v>0</v>
      </c>
      <c r="V76" s="226">
        <v>0</v>
      </c>
      <c r="W76" s="226"/>
      <c r="X76" s="226"/>
      <c r="Y76" s="226"/>
      <c r="Z76" s="226"/>
    </row>
    <row r="77" spans="1:26" s="241" customFormat="1">
      <c r="A77" s="247"/>
      <c r="B77" s="243" t="s">
        <v>739</v>
      </c>
      <c r="C77" s="243">
        <v>41866</v>
      </c>
      <c r="D77" s="243">
        <v>14173</v>
      </c>
      <c r="E77" s="243">
        <v>0</v>
      </c>
      <c r="F77" s="243">
        <v>28299</v>
      </c>
      <c r="G77" s="243">
        <v>1700</v>
      </c>
      <c r="H77" s="243">
        <v>0</v>
      </c>
      <c r="I77" s="243">
        <v>0</v>
      </c>
      <c r="J77" s="243">
        <v>86038</v>
      </c>
      <c r="K77" s="245">
        <v>0</v>
      </c>
      <c r="L77" s="243">
        <v>0</v>
      </c>
      <c r="M77" s="243">
        <v>0</v>
      </c>
      <c r="N77" s="243">
        <v>0</v>
      </c>
      <c r="O77" s="243">
        <v>0</v>
      </c>
      <c r="P77" s="245">
        <v>0</v>
      </c>
      <c r="Q77" s="243">
        <v>0</v>
      </c>
      <c r="R77" s="249">
        <v>0</v>
      </c>
      <c r="S77" s="246">
        <v>0</v>
      </c>
      <c r="T77" s="226">
        <v>0</v>
      </c>
      <c r="U77" s="226">
        <v>0</v>
      </c>
      <c r="V77" s="226">
        <v>0</v>
      </c>
      <c r="W77" s="226"/>
      <c r="X77" s="226"/>
      <c r="Y77" s="226"/>
      <c r="Z77" s="226"/>
    </row>
    <row r="78" spans="1:26" s="241" customFormat="1">
      <c r="A78" s="236" t="s">
        <v>337</v>
      </c>
      <c r="B78" s="237" t="s">
        <v>732</v>
      </c>
      <c r="C78" s="237">
        <v>2326246</v>
      </c>
      <c r="D78" s="237">
        <v>636129</v>
      </c>
      <c r="E78" s="237">
        <v>1653756</v>
      </c>
      <c r="F78" s="237">
        <v>142028</v>
      </c>
      <c r="G78" s="237">
        <v>279736</v>
      </c>
      <c r="H78" s="237">
        <v>140061</v>
      </c>
      <c r="I78" s="237"/>
      <c r="J78" s="237">
        <v>5177956</v>
      </c>
      <c r="K78" s="239"/>
      <c r="L78" s="237"/>
      <c r="M78" s="237"/>
      <c r="N78" s="237">
        <v>2094856.6</v>
      </c>
      <c r="O78" s="237">
        <v>1611022.5</v>
      </c>
      <c r="P78" s="239">
        <v>767833.3</v>
      </c>
      <c r="Q78" s="237">
        <v>4473712.4000000004</v>
      </c>
      <c r="R78" s="248"/>
      <c r="S78" s="240"/>
      <c r="T78" s="226"/>
      <c r="U78" s="226"/>
      <c r="V78" s="226"/>
      <c r="W78" s="226"/>
      <c r="X78" s="226"/>
      <c r="Y78" s="226"/>
      <c r="Z78" s="226"/>
    </row>
    <row r="79" spans="1:26" s="241" customFormat="1">
      <c r="A79" s="242"/>
      <c r="B79" s="243" t="s">
        <v>733</v>
      </c>
      <c r="C79" s="243">
        <v>2397818</v>
      </c>
      <c r="D79" s="243">
        <v>654760</v>
      </c>
      <c r="E79" s="243">
        <v>1689243</v>
      </c>
      <c r="F79" s="243">
        <v>145496</v>
      </c>
      <c r="G79" s="243">
        <v>292488</v>
      </c>
      <c r="H79" s="243">
        <v>143321</v>
      </c>
      <c r="I79" s="243"/>
      <c r="J79" s="243">
        <v>5323126</v>
      </c>
      <c r="K79" s="245"/>
      <c r="L79" s="243"/>
      <c r="M79" s="243"/>
      <c r="N79" s="243">
        <v>2084741</v>
      </c>
      <c r="O79" s="243">
        <v>1610761</v>
      </c>
      <c r="P79" s="245">
        <v>763167.5</v>
      </c>
      <c r="Q79" s="243">
        <v>4458669.5</v>
      </c>
      <c r="R79" s="249"/>
      <c r="S79" s="246"/>
      <c r="T79" s="226"/>
      <c r="U79" s="226"/>
      <c r="V79" s="226"/>
      <c r="W79" s="226"/>
      <c r="X79" s="226"/>
      <c r="Y79" s="226"/>
      <c r="Z79" s="226"/>
    </row>
    <row r="80" spans="1:26" s="241" customFormat="1">
      <c r="A80" s="242"/>
      <c r="B80" s="237" t="s">
        <v>734</v>
      </c>
      <c r="C80" s="237">
        <v>312998</v>
      </c>
      <c r="D80" s="237">
        <v>127489</v>
      </c>
      <c r="E80" s="237">
        <v>247893</v>
      </c>
      <c r="F80" s="237">
        <v>47284</v>
      </c>
      <c r="G80" s="237">
        <v>66021</v>
      </c>
      <c r="H80" s="237">
        <v>8862</v>
      </c>
      <c r="I80" s="237">
        <v>0</v>
      </c>
      <c r="J80" s="237">
        <v>810547</v>
      </c>
      <c r="K80" s="239">
        <v>0</v>
      </c>
      <c r="L80" s="237">
        <v>0</v>
      </c>
      <c r="M80" s="237">
        <v>0</v>
      </c>
      <c r="N80" s="237">
        <v>870479</v>
      </c>
      <c r="O80" s="237">
        <v>784142.5</v>
      </c>
      <c r="P80" s="239">
        <v>383041</v>
      </c>
      <c r="Q80" s="237">
        <v>2037662.5</v>
      </c>
      <c r="R80" s="248">
        <v>0</v>
      </c>
      <c r="S80" s="240">
        <v>0</v>
      </c>
      <c r="T80" s="226">
        <v>0</v>
      </c>
      <c r="U80" s="226">
        <v>0</v>
      </c>
      <c r="V80" s="226">
        <v>0</v>
      </c>
      <c r="W80" s="226"/>
      <c r="X80" s="226"/>
      <c r="Y80" s="226"/>
      <c r="Z80" s="226"/>
    </row>
    <row r="81" spans="1:26" s="241" customFormat="1">
      <c r="A81" s="242"/>
      <c r="B81" s="243" t="s">
        <v>735</v>
      </c>
      <c r="C81" s="243">
        <v>342096</v>
      </c>
      <c r="D81" s="243">
        <v>140534</v>
      </c>
      <c r="E81" s="243">
        <v>281705</v>
      </c>
      <c r="F81" s="243">
        <v>56361</v>
      </c>
      <c r="G81" s="243">
        <v>75764</v>
      </c>
      <c r="H81" s="243">
        <v>10478</v>
      </c>
      <c r="I81" s="243">
        <v>849</v>
      </c>
      <c r="J81" s="243">
        <v>907787</v>
      </c>
      <c r="K81" s="245">
        <v>0</v>
      </c>
      <c r="L81" s="243">
        <v>0</v>
      </c>
      <c r="M81" s="243">
        <v>0</v>
      </c>
      <c r="N81" s="243">
        <v>922965</v>
      </c>
      <c r="O81" s="243">
        <v>819645</v>
      </c>
      <c r="P81" s="245">
        <v>400730</v>
      </c>
      <c r="Q81" s="243">
        <v>2143340</v>
      </c>
      <c r="R81" s="249">
        <v>0</v>
      </c>
      <c r="S81" s="246">
        <v>0</v>
      </c>
      <c r="T81" s="226">
        <v>0</v>
      </c>
      <c r="U81" s="226">
        <v>0</v>
      </c>
      <c r="V81" s="226">
        <v>0</v>
      </c>
      <c r="W81" s="226"/>
      <c r="X81" s="226"/>
      <c r="Y81" s="226"/>
      <c r="Z81" s="226"/>
    </row>
    <row r="82" spans="1:26" s="241" customFormat="1">
      <c r="A82" s="242"/>
      <c r="B82" s="237" t="s">
        <v>736</v>
      </c>
      <c r="C82" s="237">
        <v>482925</v>
      </c>
      <c r="D82" s="237">
        <v>83269</v>
      </c>
      <c r="E82" s="237">
        <v>160267</v>
      </c>
      <c r="F82" s="237">
        <v>15133</v>
      </c>
      <c r="G82" s="237">
        <v>22509</v>
      </c>
      <c r="H82" s="237">
        <v>1021</v>
      </c>
      <c r="I82" s="237"/>
      <c r="J82" s="237">
        <v>765124</v>
      </c>
      <c r="K82" s="239"/>
      <c r="L82" s="237"/>
      <c r="M82" s="237"/>
      <c r="N82" s="237">
        <v>0</v>
      </c>
      <c r="O82" s="237">
        <v>0</v>
      </c>
      <c r="P82" s="239">
        <v>0</v>
      </c>
      <c r="Q82" s="237">
        <v>0</v>
      </c>
      <c r="R82" s="248"/>
      <c r="S82" s="240"/>
      <c r="T82" s="226"/>
      <c r="U82" s="226"/>
      <c r="V82" s="226"/>
      <c r="W82" s="226"/>
      <c r="X82" s="226"/>
      <c r="Y82" s="226"/>
      <c r="Z82" s="226"/>
    </row>
    <row r="83" spans="1:26" s="241" customFormat="1">
      <c r="A83" s="242"/>
      <c r="B83" s="243" t="s">
        <v>737</v>
      </c>
      <c r="C83" s="243">
        <v>524063</v>
      </c>
      <c r="D83" s="243">
        <v>90063</v>
      </c>
      <c r="E83" s="243">
        <v>163582</v>
      </c>
      <c r="F83" s="243">
        <v>14498</v>
      </c>
      <c r="G83" s="243">
        <v>26779</v>
      </c>
      <c r="H83" s="243">
        <v>882</v>
      </c>
      <c r="I83" s="243"/>
      <c r="J83" s="243">
        <v>819867</v>
      </c>
      <c r="K83" s="245"/>
      <c r="L83" s="243"/>
      <c r="M83" s="243"/>
      <c r="N83" s="243">
        <v>0</v>
      </c>
      <c r="O83" s="243">
        <v>0</v>
      </c>
      <c r="P83" s="245">
        <v>0</v>
      </c>
      <c r="Q83" s="243">
        <v>0</v>
      </c>
      <c r="R83" s="249"/>
      <c r="S83" s="246"/>
      <c r="T83" s="226"/>
      <c r="U83" s="226"/>
      <c r="V83" s="226"/>
      <c r="W83" s="226"/>
      <c r="X83" s="226"/>
      <c r="Y83" s="226"/>
      <c r="Z83" s="226"/>
    </row>
    <row r="84" spans="1:26" s="241" customFormat="1">
      <c r="A84" s="242"/>
      <c r="B84" s="237" t="s">
        <v>738</v>
      </c>
      <c r="C84" s="237">
        <v>91715</v>
      </c>
      <c r="D84" s="237">
        <v>44994</v>
      </c>
      <c r="E84" s="237">
        <v>55527</v>
      </c>
      <c r="F84" s="237">
        <v>7852</v>
      </c>
      <c r="G84" s="237">
        <v>9802</v>
      </c>
      <c r="H84" s="237">
        <v>120</v>
      </c>
      <c r="I84" s="237">
        <v>0</v>
      </c>
      <c r="J84" s="237">
        <v>210010</v>
      </c>
      <c r="K84" s="239">
        <v>0</v>
      </c>
      <c r="L84" s="237">
        <v>0</v>
      </c>
      <c r="M84" s="237">
        <v>0</v>
      </c>
      <c r="N84" s="237">
        <v>0</v>
      </c>
      <c r="O84" s="237">
        <v>0</v>
      </c>
      <c r="P84" s="239">
        <v>0</v>
      </c>
      <c r="Q84" s="237">
        <v>0</v>
      </c>
      <c r="R84" s="248">
        <v>0</v>
      </c>
      <c r="S84" s="240">
        <v>0</v>
      </c>
      <c r="T84" s="226">
        <v>0</v>
      </c>
      <c r="U84" s="226">
        <v>0</v>
      </c>
      <c r="V84" s="226">
        <v>0</v>
      </c>
      <c r="W84" s="226"/>
      <c r="X84" s="226"/>
      <c r="Y84" s="226"/>
      <c r="Z84" s="226"/>
    </row>
    <row r="85" spans="1:26" s="241" customFormat="1">
      <c r="A85" s="247"/>
      <c r="B85" s="243" t="s">
        <v>739</v>
      </c>
      <c r="C85" s="243">
        <v>97378</v>
      </c>
      <c r="D85" s="243">
        <v>55009</v>
      </c>
      <c r="E85" s="243">
        <v>61740</v>
      </c>
      <c r="F85" s="243">
        <v>9333</v>
      </c>
      <c r="G85" s="243">
        <v>14034</v>
      </c>
      <c r="H85" s="243">
        <v>144</v>
      </c>
      <c r="I85" s="243">
        <v>0</v>
      </c>
      <c r="J85" s="243">
        <v>237638</v>
      </c>
      <c r="K85" s="245">
        <v>0</v>
      </c>
      <c r="L85" s="243">
        <v>0</v>
      </c>
      <c r="M85" s="243">
        <v>0</v>
      </c>
      <c r="N85" s="243">
        <v>0</v>
      </c>
      <c r="O85" s="243">
        <v>0</v>
      </c>
      <c r="P85" s="245">
        <v>0</v>
      </c>
      <c r="Q85" s="243">
        <v>0</v>
      </c>
      <c r="R85" s="249">
        <v>0</v>
      </c>
      <c r="S85" s="246">
        <v>0</v>
      </c>
      <c r="T85" s="226">
        <v>0</v>
      </c>
      <c r="U85" s="226">
        <v>0</v>
      </c>
      <c r="V85" s="226">
        <v>0</v>
      </c>
      <c r="W85" s="226"/>
      <c r="X85" s="226"/>
      <c r="Y85" s="226"/>
      <c r="Z85" s="226"/>
    </row>
    <row r="86" spans="1:26" s="241" customFormat="1">
      <c r="A86" s="236" t="s">
        <v>411</v>
      </c>
      <c r="B86" s="237" t="s">
        <v>732</v>
      </c>
      <c r="C86" s="237">
        <v>1198205</v>
      </c>
      <c r="D86" s="237"/>
      <c r="E86" s="237">
        <v>520865</v>
      </c>
      <c r="F86" s="237">
        <v>205446</v>
      </c>
      <c r="G86" s="237">
        <v>292626</v>
      </c>
      <c r="H86" s="237">
        <v>138785</v>
      </c>
      <c r="I86" s="237"/>
      <c r="J86" s="237">
        <v>2355927</v>
      </c>
      <c r="K86" s="239"/>
      <c r="L86" s="237"/>
      <c r="M86" s="237">
        <v>204757</v>
      </c>
      <c r="N86" s="237">
        <v>540588</v>
      </c>
      <c r="O86" s="237">
        <v>213692</v>
      </c>
      <c r="P86" s="239">
        <v>320872</v>
      </c>
      <c r="Q86" s="237">
        <v>1279909</v>
      </c>
      <c r="R86" s="248"/>
      <c r="S86" s="240"/>
      <c r="T86" s="226"/>
      <c r="U86" s="226"/>
      <c r="V86" s="226"/>
      <c r="W86" s="226"/>
      <c r="X86" s="226"/>
      <c r="Y86" s="226"/>
      <c r="Z86" s="226"/>
    </row>
    <row r="87" spans="1:26" s="241" customFormat="1">
      <c r="A87" s="242"/>
      <c r="B87" s="243" t="s">
        <v>733</v>
      </c>
      <c r="C87" s="243">
        <v>1208074</v>
      </c>
      <c r="D87" s="243"/>
      <c r="E87" s="243">
        <v>514843</v>
      </c>
      <c r="F87" s="243">
        <v>203228</v>
      </c>
      <c r="G87" s="243">
        <v>283331</v>
      </c>
      <c r="H87" s="243">
        <v>138432</v>
      </c>
      <c r="I87" s="243"/>
      <c r="J87" s="243">
        <v>2347908</v>
      </c>
      <c r="K87" s="245"/>
      <c r="L87" s="243"/>
      <c r="M87" s="243">
        <v>198623</v>
      </c>
      <c r="N87" s="243">
        <v>546646</v>
      </c>
      <c r="O87" s="243">
        <v>207268</v>
      </c>
      <c r="P87" s="245">
        <v>320783</v>
      </c>
      <c r="Q87" s="243">
        <v>1273320</v>
      </c>
      <c r="R87" s="249"/>
      <c r="S87" s="246"/>
      <c r="T87" s="226"/>
      <c r="U87" s="226"/>
      <c r="V87" s="226"/>
      <c r="W87" s="226"/>
      <c r="X87" s="226"/>
      <c r="Y87" s="226"/>
      <c r="Z87" s="226"/>
    </row>
    <row r="88" spans="1:26" s="241" customFormat="1">
      <c r="A88" s="242"/>
      <c r="B88" s="237" t="s">
        <v>734</v>
      </c>
      <c r="C88" s="237">
        <v>161110</v>
      </c>
      <c r="D88" s="237">
        <v>0</v>
      </c>
      <c r="E88" s="237">
        <v>124338</v>
      </c>
      <c r="F88" s="237">
        <v>58866</v>
      </c>
      <c r="G88" s="237">
        <v>70154</v>
      </c>
      <c r="H88" s="237">
        <v>31830</v>
      </c>
      <c r="I88" s="237">
        <v>0</v>
      </c>
      <c r="J88" s="237">
        <v>446298</v>
      </c>
      <c r="K88" s="239">
        <v>0</v>
      </c>
      <c r="L88" s="237">
        <v>0</v>
      </c>
      <c r="M88" s="237">
        <v>71853</v>
      </c>
      <c r="N88" s="237">
        <v>158129</v>
      </c>
      <c r="O88" s="237">
        <v>63903</v>
      </c>
      <c r="P88" s="239">
        <v>98313</v>
      </c>
      <c r="Q88" s="237">
        <v>392198</v>
      </c>
      <c r="R88" s="248">
        <v>0</v>
      </c>
      <c r="S88" s="240">
        <v>0</v>
      </c>
      <c r="T88" s="226">
        <v>0</v>
      </c>
      <c r="U88" s="226">
        <v>0</v>
      </c>
      <c r="V88" s="226">
        <v>0</v>
      </c>
      <c r="W88" s="226"/>
      <c r="X88" s="226"/>
      <c r="Y88" s="226"/>
      <c r="Z88" s="226"/>
    </row>
    <row r="89" spans="1:26" s="241" customFormat="1">
      <c r="A89" s="242"/>
      <c r="B89" s="243" t="s">
        <v>735</v>
      </c>
      <c r="C89" s="243">
        <v>174079</v>
      </c>
      <c r="D89" s="243">
        <v>0</v>
      </c>
      <c r="E89" s="243">
        <v>132910</v>
      </c>
      <c r="F89" s="243">
        <v>66548</v>
      </c>
      <c r="G89" s="243">
        <v>72416</v>
      </c>
      <c r="H89" s="243">
        <v>35831</v>
      </c>
      <c r="I89" s="243">
        <v>0</v>
      </c>
      <c r="J89" s="243">
        <v>481784</v>
      </c>
      <c r="K89" s="245">
        <v>0</v>
      </c>
      <c r="L89" s="243">
        <v>0</v>
      </c>
      <c r="M89" s="243">
        <v>67977</v>
      </c>
      <c r="N89" s="243">
        <v>144144</v>
      </c>
      <c r="O89" s="243">
        <v>66107</v>
      </c>
      <c r="P89" s="245">
        <v>101849</v>
      </c>
      <c r="Q89" s="243">
        <v>380077</v>
      </c>
      <c r="R89" s="249">
        <v>0</v>
      </c>
      <c r="S89" s="246">
        <v>0</v>
      </c>
      <c r="T89" s="226">
        <v>0</v>
      </c>
      <c r="U89" s="226">
        <v>0</v>
      </c>
      <c r="V89" s="226">
        <v>0</v>
      </c>
      <c r="W89" s="226"/>
      <c r="X89" s="226"/>
      <c r="Y89" s="226"/>
      <c r="Z89" s="226"/>
    </row>
    <row r="90" spans="1:26" s="241" customFormat="1">
      <c r="A90" s="242"/>
      <c r="B90" s="237" t="s">
        <v>736</v>
      </c>
      <c r="C90" s="237">
        <v>215957</v>
      </c>
      <c r="D90" s="237"/>
      <c r="E90" s="237">
        <v>44392</v>
      </c>
      <c r="F90" s="237">
        <v>26647</v>
      </c>
      <c r="G90" s="237">
        <v>25494</v>
      </c>
      <c r="H90" s="237">
        <v>504</v>
      </c>
      <c r="I90" s="237"/>
      <c r="J90" s="237">
        <v>312994</v>
      </c>
      <c r="K90" s="239"/>
      <c r="L90" s="237"/>
      <c r="M90" s="237">
        <v>0</v>
      </c>
      <c r="N90" s="237">
        <v>0</v>
      </c>
      <c r="O90" s="237">
        <v>0</v>
      </c>
      <c r="P90" s="239">
        <v>0</v>
      </c>
      <c r="Q90" s="237">
        <v>0</v>
      </c>
      <c r="R90" s="248"/>
      <c r="S90" s="240"/>
      <c r="T90" s="226"/>
      <c r="U90" s="226"/>
      <c r="V90" s="226"/>
      <c r="W90" s="226"/>
      <c r="X90" s="226"/>
      <c r="Y90" s="226"/>
      <c r="Z90" s="226"/>
    </row>
    <row r="91" spans="1:26" s="241" customFormat="1">
      <c r="A91" s="242"/>
      <c r="B91" s="243" t="s">
        <v>737</v>
      </c>
      <c r="C91" s="243">
        <v>215751</v>
      </c>
      <c r="D91" s="243"/>
      <c r="E91" s="243">
        <v>57907</v>
      </c>
      <c r="F91" s="243">
        <v>20694</v>
      </c>
      <c r="G91" s="243">
        <v>21144</v>
      </c>
      <c r="H91" s="243">
        <v>459</v>
      </c>
      <c r="I91" s="243"/>
      <c r="J91" s="243">
        <v>315955</v>
      </c>
      <c r="K91" s="245"/>
      <c r="L91" s="243"/>
      <c r="M91" s="243">
        <v>0</v>
      </c>
      <c r="N91" s="243">
        <v>0</v>
      </c>
      <c r="O91" s="243">
        <v>0</v>
      </c>
      <c r="P91" s="245">
        <v>19846</v>
      </c>
      <c r="Q91" s="243">
        <v>19846</v>
      </c>
      <c r="R91" s="249"/>
      <c r="S91" s="246"/>
      <c r="T91" s="226"/>
      <c r="U91" s="226"/>
      <c r="V91" s="226"/>
      <c r="W91" s="226"/>
      <c r="X91" s="226"/>
      <c r="Y91" s="226"/>
      <c r="Z91" s="226"/>
    </row>
    <row r="92" spans="1:26" s="241" customFormat="1">
      <c r="A92" s="242"/>
      <c r="B92" s="237" t="s">
        <v>738</v>
      </c>
      <c r="C92" s="237">
        <v>45051</v>
      </c>
      <c r="D92" s="237">
        <v>0</v>
      </c>
      <c r="E92" s="237">
        <v>9407</v>
      </c>
      <c r="F92" s="237">
        <v>16812</v>
      </c>
      <c r="G92" s="237">
        <v>13243</v>
      </c>
      <c r="H92" s="237">
        <v>45</v>
      </c>
      <c r="I92" s="237">
        <v>0</v>
      </c>
      <c r="J92" s="237">
        <v>84558</v>
      </c>
      <c r="K92" s="239">
        <v>0</v>
      </c>
      <c r="L92" s="237">
        <v>0</v>
      </c>
      <c r="M92" s="237">
        <v>0</v>
      </c>
      <c r="N92" s="237">
        <v>0</v>
      </c>
      <c r="O92" s="237">
        <v>0</v>
      </c>
      <c r="P92" s="239">
        <v>0</v>
      </c>
      <c r="Q92" s="237">
        <v>0</v>
      </c>
      <c r="R92" s="248">
        <v>0</v>
      </c>
      <c r="S92" s="240">
        <v>0</v>
      </c>
      <c r="T92" s="226">
        <v>0</v>
      </c>
      <c r="U92" s="226">
        <v>0</v>
      </c>
      <c r="V92" s="226">
        <v>0</v>
      </c>
      <c r="W92" s="226"/>
      <c r="X92" s="226"/>
      <c r="Y92" s="226"/>
      <c r="Z92" s="226"/>
    </row>
    <row r="93" spans="1:26" s="241" customFormat="1">
      <c r="A93" s="247"/>
      <c r="B93" s="243" t="s">
        <v>739</v>
      </c>
      <c r="C93" s="243">
        <v>46366</v>
      </c>
      <c r="D93" s="243">
        <v>0</v>
      </c>
      <c r="E93" s="243">
        <v>10327</v>
      </c>
      <c r="F93" s="243">
        <v>27847</v>
      </c>
      <c r="G93" s="243">
        <v>14076</v>
      </c>
      <c r="H93" s="243">
        <v>24</v>
      </c>
      <c r="I93" s="243">
        <v>0</v>
      </c>
      <c r="J93" s="243">
        <v>98640</v>
      </c>
      <c r="K93" s="245">
        <v>0</v>
      </c>
      <c r="L93" s="243">
        <v>0</v>
      </c>
      <c r="M93" s="243">
        <v>0</v>
      </c>
      <c r="N93" s="243">
        <v>0</v>
      </c>
      <c r="O93" s="243">
        <v>0</v>
      </c>
      <c r="P93" s="245">
        <v>0</v>
      </c>
      <c r="Q93" s="243">
        <v>0</v>
      </c>
      <c r="R93" s="249">
        <v>0</v>
      </c>
      <c r="S93" s="246">
        <v>0</v>
      </c>
      <c r="T93" s="226">
        <v>0</v>
      </c>
      <c r="U93" s="226">
        <v>0</v>
      </c>
      <c r="V93" s="226">
        <v>0</v>
      </c>
      <c r="W93" s="226"/>
      <c r="X93" s="226"/>
      <c r="Y93" s="226"/>
      <c r="Z93" s="226"/>
    </row>
    <row r="94" spans="1:26" s="241" customFormat="1">
      <c r="A94" s="236" t="s">
        <v>439</v>
      </c>
      <c r="B94" s="237" t="s">
        <v>732</v>
      </c>
      <c r="C94" s="237">
        <v>1379623</v>
      </c>
      <c r="D94" s="237"/>
      <c r="E94" s="237">
        <v>542042</v>
      </c>
      <c r="F94" s="237">
        <v>290577</v>
      </c>
      <c r="G94" s="237">
        <v>162780</v>
      </c>
      <c r="H94" s="237">
        <v>377881</v>
      </c>
      <c r="I94" s="237"/>
      <c r="J94" s="237">
        <v>2752903</v>
      </c>
      <c r="K94" s="239"/>
      <c r="L94" s="237"/>
      <c r="M94" s="237"/>
      <c r="N94" s="237">
        <v>900186</v>
      </c>
      <c r="O94" s="237">
        <v>626218</v>
      </c>
      <c r="P94" s="239">
        <v>295157</v>
      </c>
      <c r="Q94" s="237">
        <v>1821561</v>
      </c>
      <c r="R94" s="248"/>
      <c r="S94" s="240"/>
      <c r="T94" s="226"/>
      <c r="U94" s="226"/>
      <c r="V94" s="226"/>
      <c r="W94" s="226"/>
      <c r="X94" s="226"/>
      <c r="Y94" s="226"/>
      <c r="Z94" s="226"/>
    </row>
    <row r="95" spans="1:26" s="241" customFormat="1">
      <c r="A95" s="242"/>
      <c r="B95" s="243" t="s">
        <v>733</v>
      </c>
      <c r="C95" s="243">
        <v>1412649</v>
      </c>
      <c r="D95" s="243"/>
      <c r="E95" s="243">
        <v>537923</v>
      </c>
      <c r="F95" s="243">
        <v>292069</v>
      </c>
      <c r="G95" s="243">
        <v>155895</v>
      </c>
      <c r="H95" s="243">
        <v>392184.5</v>
      </c>
      <c r="I95" s="243"/>
      <c r="J95" s="243">
        <v>2790720.5</v>
      </c>
      <c r="K95" s="245"/>
      <c r="L95" s="243"/>
      <c r="M95" s="243"/>
      <c r="N95" s="243">
        <v>859427</v>
      </c>
      <c r="O95" s="243">
        <v>591914</v>
      </c>
      <c r="P95" s="245">
        <v>293351</v>
      </c>
      <c r="Q95" s="243">
        <v>1744692</v>
      </c>
      <c r="R95" s="249"/>
      <c r="S95" s="246"/>
      <c r="T95" s="226"/>
      <c r="U95" s="226"/>
      <c r="V95" s="226"/>
      <c r="W95" s="226"/>
      <c r="X95" s="226"/>
      <c r="Y95" s="226"/>
      <c r="Z95" s="226"/>
    </row>
    <row r="96" spans="1:26" s="241" customFormat="1">
      <c r="A96" s="242"/>
      <c r="B96" s="237" t="s">
        <v>734</v>
      </c>
      <c r="C96" s="237">
        <v>122996</v>
      </c>
      <c r="D96" s="237">
        <v>0</v>
      </c>
      <c r="E96" s="237">
        <v>37478</v>
      </c>
      <c r="F96" s="237">
        <v>43467</v>
      </c>
      <c r="G96" s="237">
        <v>9540</v>
      </c>
      <c r="H96" s="237">
        <v>55293</v>
      </c>
      <c r="I96" s="237">
        <v>0</v>
      </c>
      <c r="J96" s="237">
        <v>268774</v>
      </c>
      <c r="K96" s="239">
        <v>0</v>
      </c>
      <c r="L96" s="237">
        <v>0</v>
      </c>
      <c r="M96" s="237">
        <v>0</v>
      </c>
      <c r="N96" s="237">
        <v>290651</v>
      </c>
      <c r="O96" s="237">
        <v>222702</v>
      </c>
      <c r="P96" s="239">
        <v>63558</v>
      </c>
      <c r="Q96" s="237">
        <v>576911</v>
      </c>
      <c r="R96" s="248">
        <v>0</v>
      </c>
      <c r="S96" s="240">
        <v>0</v>
      </c>
      <c r="T96" s="226">
        <v>0</v>
      </c>
      <c r="U96" s="226">
        <v>0</v>
      </c>
      <c r="V96" s="226">
        <v>0</v>
      </c>
      <c r="W96" s="226"/>
      <c r="X96" s="226"/>
      <c r="Y96" s="226"/>
      <c r="Z96" s="226"/>
    </row>
    <row r="97" spans="1:26" s="241" customFormat="1">
      <c r="A97" s="242"/>
      <c r="B97" s="243" t="s">
        <v>735</v>
      </c>
      <c r="C97" s="243">
        <v>146397</v>
      </c>
      <c r="D97" s="243">
        <v>0</v>
      </c>
      <c r="E97" s="243">
        <v>42374</v>
      </c>
      <c r="F97" s="243">
        <v>50683</v>
      </c>
      <c r="G97" s="243">
        <v>12738</v>
      </c>
      <c r="H97" s="243">
        <v>82876</v>
      </c>
      <c r="I97" s="243">
        <v>0</v>
      </c>
      <c r="J97" s="243">
        <v>335068</v>
      </c>
      <c r="K97" s="245">
        <v>0</v>
      </c>
      <c r="L97" s="243">
        <v>0</v>
      </c>
      <c r="M97" s="243">
        <v>0</v>
      </c>
      <c r="N97" s="243">
        <v>314412</v>
      </c>
      <c r="O97" s="243">
        <v>201139</v>
      </c>
      <c r="P97" s="245">
        <v>73323</v>
      </c>
      <c r="Q97" s="243">
        <v>588874</v>
      </c>
      <c r="R97" s="249">
        <v>0</v>
      </c>
      <c r="S97" s="246">
        <v>0</v>
      </c>
      <c r="T97" s="226">
        <v>0</v>
      </c>
      <c r="U97" s="226">
        <v>0</v>
      </c>
      <c r="V97" s="226">
        <v>0</v>
      </c>
      <c r="W97" s="226"/>
      <c r="X97" s="226"/>
      <c r="Y97" s="226"/>
      <c r="Z97" s="226"/>
    </row>
    <row r="98" spans="1:26" s="241" customFormat="1">
      <c r="A98" s="242"/>
      <c r="B98" s="237" t="s">
        <v>736</v>
      </c>
      <c r="C98" s="237">
        <v>265836</v>
      </c>
      <c r="D98" s="237"/>
      <c r="E98" s="237">
        <v>42525</v>
      </c>
      <c r="F98" s="237">
        <v>14068</v>
      </c>
      <c r="G98" s="237">
        <v>12903</v>
      </c>
      <c r="H98" s="237">
        <v>6505</v>
      </c>
      <c r="I98" s="237"/>
      <c r="J98" s="237">
        <v>341837</v>
      </c>
      <c r="K98" s="239"/>
      <c r="L98" s="237"/>
      <c r="M98" s="237"/>
      <c r="N98" s="237">
        <v>0</v>
      </c>
      <c r="O98" s="237">
        <v>0</v>
      </c>
      <c r="P98" s="239">
        <v>0</v>
      </c>
      <c r="Q98" s="237">
        <v>0</v>
      </c>
      <c r="R98" s="248"/>
      <c r="S98" s="240"/>
      <c r="T98" s="226"/>
      <c r="U98" s="226"/>
      <c r="V98" s="226"/>
      <c r="W98" s="226"/>
      <c r="X98" s="226"/>
      <c r="Y98" s="226"/>
      <c r="Z98" s="226"/>
    </row>
    <row r="99" spans="1:26" s="241" customFormat="1">
      <c r="A99" s="242"/>
      <c r="B99" s="243" t="s">
        <v>737</v>
      </c>
      <c r="C99" s="243">
        <v>263420</v>
      </c>
      <c r="D99" s="243"/>
      <c r="E99" s="243">
        <v>41405.5</v>
      </c>
      <c r="F99" s="243">
        <v>13125</v>
      </c>
      <c r="G99" s="243">
        <v>16280</v>
      </c>
      <c r="H99" s="243">
        <v>4856</v>
      </c>
      <c r="I99" s="243"/>
      <c r="J99" s="243">
        <v>339086.5</v>
      </c>
      <c r="K99" s="245"/>
      <c r="L99" s="243"/>
      <c r="M99" s="243"/>
      <c r="N99" s="243">
        <v>0</v>
      </c>
      <c r="O99" s="243">
        <v>0</v>
      </c>
      <c r="P99" s="245">
        <v>0</v>
      </c>
      <c r="Q99" s="243">
        <v>0</v>
      </c>
      <c r="R99" s="249"/>
      <c r="S99" s="246"/>
      <c r="T99" s="226"/>
      <c r="U99" s="226"/>
      <c r="V99" s="226"/>
      <c r="W99" s="226"/>
      <c r="X99" s="226"/>
      <c r="Y99" s="226"/>
      <c r="Z99" s="226"/>
    </row>
    <row r="100" spans="1:26" s="241" customFormat="1">
      <c r="A100" s="242"/>
      <c r="B100" s="237" t="s">
        <v>738</v>
      </c>
      <c r="C100" s="237">
        <v>57569</v>
      </c>
      <c r="D100" s="237">
        <v>0</v>
      </c>
      <c r="E100" s="237">
        <v>11294</v>
      </c>
      <c r="F100" s="237">
        <v>7558</v>
      </c>
      <c r="G100" s="237">
        <v>2679</v>
      </c>
      <c r="H100" s="237">
        <v>4236</v>
      </c>
      <c r="I100" s="237">
        <v>0</v>
      </c>
      <c r="J100" s="237">
        <v>83336</v>
      </c>
      <c r="K100" s="239">
        <v>0</v>
      </c>
      <c r="L100" s="237">
        <v>0</v>
      </c>
      <c r="M100" s="237">
        <v>0</v>
      </c>
      <c r="N100" s="237">
        <v>0</v>
      </c>
      <c r="O100" s="237">
        <v>0</v>
      </c>
      <c r="P100" s="239">
        <v>0</v>
      </c>
      <c r="Q100" s="237">
        <v>0</v>
      </c>
      <c r="R100" s="248">
        <v>0</v>
      </c>
      <c r="S100" s="240">
        <v>0</v>
      </c>
      <c r="T100" s="226">
        <v>0</v>
      </c>
      <c r="U100" s="226">
        <v>0</v>
      </c>
      <c r="V100" s="226">
        <v>0</v>
      </c>
      <c r="W100" s="226"/>
      <c r="X100" s="226"/>
      <c r="Y100" s="226"/>
      <c r="Z100" s="226"/>
    </row>
    <row r="101" spans="1:26" s="241" customFormat="1">
      <c r="A101" s="247"/>
      <c r="B101" s="243" t="s">
        <v>739</v>
      </c>
      <c r="C101" s="243">
        <v>63064</v>
      </c>
      <c r="D101" s="243">
        <v>0</v>
      </c>
      <c r="E101" s="243">
        <v>13998</v>
      </c>
      <c r="F101" s="243">
        <v>7065</v>
      </c>
      <c r="G101" s="243">
        <v>3334</v>
      </c>
      <c r="H101" s="243">
        <v>3621</v>
      </c>
      <c r="I101" s="243">
        <v>0</v>
      </c>
      <c r="J101" s="243">
        <v>91082</v>
      </c>
      <c r="K101" s="245">
        <v>0</v>
      </c>
      <c r="L101" s="243">
        <v>0</v>
      </c>
      <c r="M101" s="243">
        <v>0</v>
      </c>
      <c r="N101" s="243">
        <v>0</v>
      </c>
      <c r="O101" s="243">
        <v>0</v>
      </c>
      <c r="P101" s="245">
        <v>0</v>
      </c>
      <c r="Q101" s="243">
        <v>0</v>
      </c>
      <c r="R101" s="249">
        <v>0</v>
      </c>
      <c r="S101" s="246">
        <v>0</v>
      </c>
      <c r="T101" s="226">
        <v>0</v>
      </c>
      <c r="U101" s="226">
        <v>0</v>
      </c>
      <c r="V101" s="226">
        <v>0</v>
      </c>
      <c r="W101" s="226"/>
      <c r="X101" s="226"/>
      <c r="Y101" s="226"/>
      <c r="Z101" s="226"/>
    </row>
    <row r="102" spans="1:26" s="241" customFormat="1">
      <c r="A102" s="236" t="s">
        <v>472</v>
      </c>
      <c r="B102" s="237" t="s">
        <v>732</v>
      </c>
      <c r="C102" s="237">
        <v>1032856</v>
      </c>
      <c r="D102" s="237">
        <v>986151</v>
      </c>
      <c r="E102" s="237">
        <v>769996</v>
      </c>
      <c r="F102" s="237"/>
      <c r="G102" s="237">
        <v>164451</v>
      </c>
      <c r="H102" s="237"/>
      <c r="I102" s="237"/>
      <c r="J102" s="237">
        <v>2953454</v>
      </c>
      <c r="K102" s="239"/>
      <c r="L102" s="237"/>
      <c r="M102" s="237"/>
      <c r="N102" s="237">
        <v>871296</v>
      </c>
      <c r="O102" s="237">
        <v>737823</v>
      </c>
      <c r="P102" s="239">
        <v>50263</v>
      </c>
      <c r="Q102" s="237">
        <v>1659382</v>
      </c>
      <c r="R102" s="248">
        <v>0</v>
      </c>
      <c r="S102" s="240">
        <v>0</v>
      </c>
      <c r="T102" s="226">
        <v>0</v>
      </c>
      <c r="U102" s="226"/>
      <c r="V102" s="226"/>
      <c r="W102" s="226"/>
      <c r="X102" s="226"/>
      <c r="Y102" s="226"/>
      <c r="Z102" s="226"/>
    </row>
    <row r="103" spans="1:26" s="241" customFormat="1">
      <c r="A103" s="242"/>
      <c r="B103" s="243" t="s">
        <v>733</v>
      </c>
      <c r="C103" s="243">
        <v>1035036</v>
      </c>
      <c r="D103" s="243">
        <v>971329</v>
      </c>
      <c r="E103" s="243">
        <v>779533</v>
      </c>
      <c r="F103" s="243"/>
      <c r="G103" s="243">
        <v>164329</v>
      </c>
      <c r="H103" s="243"/>
      <c r="I103" s="243"/>
      <c r="J103" s="243">
        <v>2950227</v>
      </c>
      <c r="K103" s="245"/>
      <c r="L103" s="243"/>
      <c r="M103" s="243"/>
      <c r="N103" s="243">
        <v>883513</v>
      </c>
      <c r="O103" s="243">
        <v>751064</v>
      </c>
      <c r="P103" s="245">
        <v>51313</v>
      </c>
      <c r="Q103" s="243">
        <v>1685890</v>
      </c>
      <c r="R103" s="249">
        <v>0</v>
      </c>
      <c r="S103" s="246">
        <v>0</v>
      </c>
      <c r="T103" s="226">
        <v>0</v>
      </c>
      <c r="U103" s="226"/>
      <c r="V103" s="226"/>
      <c r="W103" s="226"/>
      <c r="X103" s="226"/>
      <c r="Y103" s="226"/>
      <c r="Z103" s="226"/>
    </row>
    <row r="104" spans="1:26" s="241" customFormat="1">
      <c r="A104" s="242"/>
      <c r="B104" s="237" t="s">
        <v>734</v>
      </c>
      <c r="C104" s="237">
        <v>141822</v>
      </c>
      <c r="D104" s="237">
        <v>197281</v>
      </c>
      <c r="E104" s="237">
        <v>214242</v>
      </c>
      <c r="F104" s="237">
        <v>0</v>
      </c>
      <c r="G104" s="237">
        <v>24874</v>
      </c>
      <c r="H104" s="237">
        <v>0</v>
      </c>
      <c r="I104" s="237">
        <v>0</v>
      </c>
      <c r="J104" s="237">
        <v>578219</v>
      </c>
      <c r="K104" s="239">
        <v>0</v>
      </c>
      <c r="L104" s="237">
        <v>0</v>
      </c>
      <c r="M104" s="237">
        <v>0</v>
      </c>
      <c r="N104" s="237">
        <v>226834</v>
      </c>
      <c r="O104" s="237">
        <v>202335</v>
      </c>
      <c r="P104" s="239">
        <v>13754</v>
      </c>
      <c r="Q104" s="237">
        <v>442923</v>
      </c>
      <c r="R104" s="248">
        <v>0</v>
      </c>
      <c r="S104" s="240">
        <v>0</v>
      </c>
      <c r="T104" s="226">
        <v>0</v>
      </c>
      <c r="U104" s="226">
        <v>0</v>
      </c>
      <c r="V104" s="226">
        <v>0</v>
      </c>
      <c r="W104" s="226"/>
      <c r="X104" s="226"/>
      <c r="Y104" s="226"/>
      <c r="Z104" s="226"/>
    </row>
    <row r="105" spans="1:26" s="241" customFormat="1">
      <c r="A105" s="242"/>
      <c r="B105" s="243" t="s">
        <v>735</v>
      </c>
      <c r="C105" s="243">
        <v>162678</v>
      </c>
      <c r="D105" s="243">
        <v>213835</v>
      </c>
      <c r="E105" s="243">
        <v>224000</v>
      </c>
      <c r="F105" s="243">
        <v>0</v>
      </c>
      <c r="G105" s="243">
        <v>29643</v>
      </c>
      <c r="H105" s="243">
        <v>0</v>
      </c>
      <c r="I105" s="243">
        <v>0</v>
      </c>
      <c r="J105" s="243">
        <v>630156</v>
      </c>
      <c r="K105" s="245">
        <v>0</v>
      </c>
      <c r="L105" s="243">
        <v>0</v>
      </c>
      <c r="M105" s="243">
        <v>0</v>
      </c>
      <c r="N105" s="243">
        <v>247639</v>
      </c>
      <c r="O105" s="243">
        <v>225465</v>
      </c>
      <c r="P105" s="245">
        <v>15711</v>
      </c>
      <c r="Q105" s="243">
        <v>488815</v>
      </c>
      <c r="R105" s="249">
        <v>0</v>
      </c>
      <c r="S105" s="246">
        <v>0</v>
      </c>
      <c r="T105" s="226">
        <v>0</v>
      </c>
      <c r="U105" s="226">
        <v>0</v>
      </c>
      <c r="V105" s="226">
        <v>0</v>
      </c>
      <c r="W105" s="226"/>
      <c r="X105" s="226"/>
      <c r="Y105" s="226"/>
      <c r="Z105" s="226"/>
    </row>
    <row r="106" spans="1:26" s="241" customFormat="1">
      <c r="A106" s="242"/>
      <c r="B106" s="237" t="s">
        <v>736</v>
      </c>
      <c r="C106" s="237">
        <v>149922</v>
      </c>
      <c r="D106" s="237">
        <v>103381</v>
      </c>
      <c r="E106" s="237">
        <v>56521</v>
      </c>
      <c r="F106" s="237"/>
      <c r="G106" s="237">
        <v>6757</v>
      </c>
      <c r="H106" s="237"/>
      <c r="I106" s="237"/>
      <c r="J106" s="237">
        <v>316581</v>
      </c>
      <c r="K106" s="239"/>
      <c r="L106" s="237"/>
      <c r="M106" s="237"/>
      <c r="N106" s="237">
        <v>0</v>
      </c>
      <c r="O106" s="237">
        <v>0</v>
      </c>
      <c r="P106" s="239">
        <v>0</v>
      </c>
      <c r="Q106" s="237">
        <v>0</v>
      </c>
      <c r="R106" s="248">
        <v>0</v>
      </c>
      <c r="S106" s="240">
        <v>0</v>
      </c>
      <c r="T106" s="226">
        <v>0</v>
      </c>
      <c r="U106" s="226"/>
      <c r="V106" s="226"/>
      <c r="W106" s="226"/>
      <c r="X106" s="226"/>
      <c r="Y106" s="226"/>
      <c r="Z106" s="226"/>
    </row>
    <row r="107" spans="1:26" s="241" customFormat="1">
      <c r="A107" s="242"/>
      <c r="B107" s="243" t="s">
        <v>737</v>
      </c>
      <c r="C107" s="243">
        <v>151272</v>
      </c>
      <c r="D107" s="243">
        <v>103954</v>
      </c>
      <c r="E107" s="243">
        <v>60961</v>
      </c>
      <c r="F107" s="243"/>
      <c r="G107" s="243">
        <v>5602</v>
      </c>
      <c r="H107" s="243"/>
      <c r="I107" s="243"/>
      <c r="J107" s="243">
        <v>321789</v>
      </c>
      <c r="K107" s="245"/>
      <c r="L107" s="243"/>
      <c r="M107" s="243"/>
      <c r="N107" s="243">
        <v>0</v>
      </c>
      <c r="O107" s="243">
        <v>0</v>
      </c>
      <c r="P107" s="245">
        <v>0</v>
      </c>
      <c r="Q107" s="243">
        <v>0</v>
      </c>
      <c r="R107" s="249">
        <v>0</v>
      </c>
      <c r="S107" s="246">
        <v>0</v>
      </c>
      <c r="T107" s="226">
        <v>0</v>
      </c>
      <c r="U107" s="226"/>
      <c r="V107" s="226"/>
      <c r="W107" s="226"/>
      <c r="X107" s="226"/>
      <c r="Y107" s="226"/>
      <c r="Z107" s="226"/>
    </row>
    <row r="108" spans="1:26" s="241" customFormat="1">
      <c r="A108" s="242"/>
      <c r="B108" s="237" t="s">
        <v>738</v>
      </c>
      <c r="C108" s="237">
        <v>38360</v>
      </c>
      <c r="D108" s="237">
        <v>37947</v>
      </c>
      <c r="E108" s="237">
        <v>30054</v>
      </c>
      <c r="F108" s="237">
        <v>0</v>
      </c>
      <c r="G108" s="237">
        <v>5877</v>
      </c>
      <c r="H108" s="237">
        <v>0</v>
      </c>
      <c r="I108" s="237">
        <v>0</v>
      </c>
      <c r="J108" s="237">
        <v>112238</v>
      </c>
      <c r="K108" s="239">
        <v>0</v>
      </c>
      <c r="L108" s="237">
        <v>0</v>
      </c>
      <c r="M108" s="237">
        <v>0</v>
      </c>
      <c r="N108" s="237">
        <v>0</v>
      </c>
      <c r="O108" s="237">
        <v>0</v>
      </c>
      <c r="P108" s="239">
        <v>0</v>
      </c>
      <c r="Q108" s="237">
        <v>0</v>
      </c>
      <c r="R108" s="248">
        <v>0</v>
      </c>
      <c r="S108" s="240">
        <v>0</v>
      </c>
      <c r="T108" s="226">
        <v>0</v>
      </c>
      <c r="U108" s="226">
        <v>0</v>
      </c>
      <c r="V108" s="226">
        <v>0</v>
      </c>
      <c r="W108" s="226"/>
      <c r="X108" s="226"/>
      <c r="Y108" s="226"/>
      <c r="Z108" s="226"/>
    </row>
    <row r="109" spans="1:26" s="241" customFormat="1">
      <c r="A109" s="247"/>
      <c r="B109" s="243" t="s">
        <v>739</v>
      </c>
      <c r="C109" s="243">
        <v>41606</v>
      </c>
      <c r="D109" s="243">
        <v>41013</v>
      </c>
      <c r="E109" s="243">
        <v>33686</v>
      </c>
      <c r="F109" s="243">
        <v>0</v>
      </c>
      <c r="G109" s="243">
        <v>4778</v>
      </c>
      <c r="H109" s="243">
        <v>0</v>
      </c>
      <c r="I109" s="243">
        <v>0</v>
      </c>
      <c r="J109" s="243">
        <v>121083</v>
      </c>
      <c r="K109" s="245">
        <v>0</v>
      </c>
      <c r="L109" s="243">
        <v>0</v>
      </c>
      <c r="M109" s="243">
        <v>0</v>
      </c>
      <c r="N109" s="243">
        <v>0</v>
      </c>
      <c r="O109" s="243">
        <v>0</v>
      </c>
      <c r="P109" s="245">
        <v>0</v>
      </c>
      <c r="Q109" s="243">
        <v>0</v>
      </c>
      <c r="R109" s="249">
        <v>0</v>
      </c>
      <c r="S109" s="246">
        <v>0</v>
      </c>
      <c r="T109" s="226">
        <v>0</v>
      </c>
      <c r="U109" s="226">
        <v>0</v>
      </c>
      <c r="V109" s="226">
        <v>0</v>
      </c>
      <c r="W109" s="226"/>
      <c r="X109" s="226"/>
      <c r="Y109" s="226"/>
      <c r="Z109" s="226"/>
    </row>
    <row r="110" spans="1:26" s="241" customFormat="1">
      <c r="A110" s="236" t="s">
        <v>523</v>
      </c>
      <c r="B110" s="237" t="s">
        <v>732</v>
      </c>
      <c r="C110" s="237">
        <v>6791283</v>
      </c>
      <c r="D110" s="237">
        <v>1626698</v>
      </c>
      <c r="E110" s="237">
        <v>4052889</v>
      </c>
      <c r="F110" s="237">
        <v>149227</v>
      </c>
      <c r="G110" s="237">
        <v>447101</v>
      </c>
      <c r="H110" s="237"/>
      <c r="I110" s="237"/>
      <c r="J110" s="237">
        <v>13067198</v>
      </c>
      <c r="K110" s="239"/>
      <c r="L110" s="237"/>
      <c r="M110" s="237">
        <v>807871</v>
      </c>
      <c r="N110" s="237">
        <v>10205854</v>
      </c>
      <c r="O110" s="237">
        <v>2358744</v>
      </c>
      <c r="P110" s="239">
        <v>522054</v>
      </c>
      <c r="Q110" s="237">
        <v>13894523</v>
      </c>
      <c r="R110" s="248"/>
      <c r="S110" s="240"/>
      <c r="T110" s="226"/>
      <c r="U110" s="226"/>
      <c r="V110" s="226"/>
      <c r="W110" s="226"/>
      <c r="X110" s="226"/>
      <c r="Y110" s="226"/>
      <c r="Z110" s="226"/>
    </row>
    <row r="111" spans="1:26" s="241" customFormat="1">
      <c r="A111" s="242"/>
      <c r="B111" s="243" t="s">
        <v>733</v>
      </c>
      <c r="C111" s="243">
        <v>6997431</v>
      </c>
      <c r="D111" s="243">
        <v>1641097</v>
      </c>
      <c r="E111" s="243">
        <v>4121282</v>
      </c>
      <c r="F111" s="243">
        <v>152525</v>
      </c>
      <c r="G111" s="243">
        <v>456644</v>
      </c>
      <c r="H111" s="243"/>
      <c r="I111" s="243"/>
      <c r="J111" s="243">
        <v>13368979</v>
      </c>
      <c r="K111" s="245"/>
      <c r="L111" s="243"/>
      <c r="M111" s="243">
        <v>802255</v>
      </c>
      <c r="N111" s="243">
        <v>10490298</v>
      </c>
      <c r="O111" s="243">
        <v>2363386</v>
      </c>
      <c r="P111" s="245">
        <v>548238</v>
      </c>
      <c r="Q111" s="243">
        <v>14204177</v>
      </c>
      <c r="R111" s="249"/>
      <c r="S111" s="246"/>
      <c r="T111" s="226"/>
      <c r="U111" s="226"/>
      <c r="V111" s="226"/>
      <c r="W111" s="226"/>
      <c r="X111" s="226"/>
      <c r="Y111" s="226"/>
      <c r="Z111" s="226"/>
    </row>
    <row r="112" spans="1:26" s="241" customFormat="1">
      <c r="A112" s="242"/>
      <c r="B112" s="237" t="s">
        <v>734</v>
      </c>
      <c r="C112" s="237">
        <v>1100552</v>
      </c>
      <c r="D112" s="237">
        <v>229518</v>
      </c>
      <c r="E112" s="237">
        <v>909072</v>
      </c>
      <c r="F112" s="237">
        <v>77052</v>
      </c>
      <c r="G112" s="237">
        <v>166973</v>
      </c>
      <c r="H112" s="237">
        <v>0</v>
      </c>
      <c r="I112" s="237">
        <v>0</v>
      </c>
      <c r="J112" s="237">
        <v>2483167</v>
      </c>
      <c r="K112" s="239">
        <v>0</v>
      </c>
      <c r="L112" s="237">
        <v>0</v>
      </c>
      <c r="M112" s="237">
        <v>198249</v>
      </c>
      <c r="N112" s="237">
        <v>2802450</v>
      </c>
      <c r="O112" s="237">
        <v>676603</v>
      </c>
      <c r="P112" s="239">
        <v>190569</v>
      </c>
      <c r="Q112" s="237">
        <v>3867871</v>
      </c>
      <c r="R112" s="248">
        <v>0</v>
      </c>
      <c r="S112" s="240">
        <v>0</v>
      </c>
      <c r="T112" s="226">
        <v>0</v>
      </c>
      <c r="U112" s="226">
        <v>0</v>
      </c>
      <c r="V112" s="226">
        <v>0</v>
      </c>
      <c r="W112" s="226"/>
      <c r="X112" s="226"/>
      <c r="Y112" s="226"/>
      <c r="Z112" s="226"/>
    </row>
    <row r="113" spans="1:26" s="241" customFormat="1">
      <c r="A113" s="242"/>
      <c r="B113" s="243" t="s">
        <v>735</v>
      </c>
      <c r="C113" s="243">
        <v>1264917</v>
      </c>
      <c r="D113" s="243">
        <v>255362</v>
      </c>
      <c r="E113" s="243">
        <v>1017759</v>
      </c>
      <c r="F113" s="243">
        <v>82481</v>
      </c>
      <c r="G113" s="243">
        <v>181053</v>
      </c>
      <c r="H113" s="243">
        <v>0</v>
      </c>
      <c r="I113" s="243">
        <v>0</v>
      </c>
      <c r="J113" s="243">
        <v>2801572</v>
      </c>
      <c r="K113" s="245">
        <v>0</v>
      </c>
      <c r="L113" s="243">
        <v>0</v>
      </c>
      <c r="M113" s="243">
        <v>204657</v>
      </c>
      <c r="N113" s="243">
        <v>3128369</v>
      </c>
      <c r="O113" s="243">
        <v>747351</v>
      </c>
      <c r="P113" s="245">
        <v>212742</v>
      </c>
      <c r="Q113" s="243">
        <v>4293119</v>
      </c>
      <c r="R113" s="249">
        <v>0</v>
      </c>
      <c r="S113" s="246">
        <v>0</v>
      </c>
      <c r="T113" s="226">
        <v>0</v>
      </c>
      <c r="U113" s="226">
        <v>0</v>
      </c>
      <c r="V113" s="226">
        <v>0</v>
      </c>
      <c r="W113" s="226"/>
      <c r="X113" s="226"/>
      <c r="Y113" s="226"/>
      <c r="Z113" s="226"/>
    </row>
    <row r="114" spans="1:26" s="241" customFormat="1">
      <c r="A114" s="242"/>
      <c r="B114" s="237" t="s">
        <v>736</v>
      </c>
      <c r="C114" s="237">
        <v>1310839</v>
      </c>
      <c r="D114" s="237">
        <v>227286</v>
      </c>
      <c r="E114" s="237">
        <v>691909</v>
      </c>
      <c r="F114" s="237">
        <v>32550</v>
      </c>
      <c r="G114" s="237">
        <v>49558</v>
      </c>
      <c r="H114" s="237"/>
      <c r="I114" s="237"/>
      <c r="J114" s="237">
        <v>2312142</v>
      </c>
      <c r="K114" s="239"/>
      <c r="L114" s="237"/>
      <c r="M114" s="237">
        <v>0</v>
      </c>
      <c r="N114" s="237">
        <v>0</v>
      </c>
      <c r="O114" s="237">
        <v>0</v>
      </c>
      <c r="P114" s="239">
        <v>16175</v>
      </c>
      <c r="Q114" s="237">
        <v>16175</v>
      </c>
      <c r="R114" s="248"/>
      <c r="S114" s="240"/>
      <c r="T114" s="226"/>
      <c r="U114" s="226"/>
      <c r="V114" s="226"/>
      <c r="W114" s="226"/>
      <c r="X114" s="226"/>
      <c r="Y114" s="226"/>
      <c r="Z114" s="226"/>
    </row>
    <row r="115" spans="1:26" s="241" customFormat="1">
      <c r="A115" s="242"/>
      <c r="B115" s="243" t="s">
        <v>737</v>
      </c>
      <c r="C115" s="243">
        <v>1297518</v>
      </c>
      <c r="D115" s="243">
        <v>227260</v>
      </c>
      <c r="E115" s="243">
        <v>674917</v>
      </c>
      <c r="F115" s="243">
        <v>31836</v>
      </c>
      <c r="G115" s="243">
        <v>47227</v>
      </c>
      <c r="H115" s="243"/>
      <c r="I115" s="243"/>
      <c r="J115" s="243">
        <v>2278758</v>
      </c>
      <c r="K115" s="245"/>
      <c r="L115" s="243"/>
      <c r="M115" s="243">
        <v>0</v>
      </c>
      <c r="N115" s="243">
        <v>0</v>
      </c>
      <c r="O115" s="243">
        <v>0</v>
      </c>
      <c r="P115" s="245">
        <v>16216</v>
      </c>
      <c r="Q115" s="243">
        <v>16216</v>
      </c>
      <c r="R115" s="249"/>
      <c r="S115" s="246"/>
      <c r="T115" s="226"/>
      <c r="U115" s="226"/>
      <c r="V115" s="226"/>
      <c r="W115" s="226"/>
      <c r="X115" s="226"/>
      <c r="Y115" s="226"/>
      <c r="Z115" s="226"/>
    </row>
    <row r="116" spans="1:26" s="241" customFormat="1">
      <c r="A116" s="242"/>
      <c r="B116" s="237" t="s">
        <v>738</v>
      </c>
      <c r="C116" s="237">
        <v>268632</v>
      </c>
      <c r="D116" s="237">
        <v>84347</v>
      </c>
      <c r="E116" s="237">
        <v>424867</v>
      </c>
      <c r="F116" s="237">
        <v>24747</v>
      </c>
      <c r="G116" s="237">
        <v>36271</v>
      </c>
      <c r="H116" s="237">
        <v>0</v>
      </c>
      <c r="I116" s="237">
        <v>0</v>
      </c>
      <c r="J116" s="237">
        <v>838864</v>
      </c>
      <c r="K116" s="239">
        <v>0</v>
      </c>
      <c r="L116" s="237">
        <v>0</v>
      </c>
      <c r="M116" s="237">
        <v>0</v>
      </c>
      <c r="N116" s="237">
        <v>0</v>
      </c>
      <c r="O116" s="237">
        <v>0</v>
      </c>
      <c r="P116" s="239">
        <v>4109</v>
      </c>
      <c r="Q116" s="237">
        <v>4109</v>
      </c>
      <c r="R116" s="248">
        <v>0</v>
      </c>
      <c r="S116" s="240">
        <v>0</v>
      </c>
      <c r="T116" s="226">
        <v>0</v>
      </c>
      <c r="U116" s="226">
        <v>0</v>
      </c>
      <c r="V116" s="226">
        <v>0</v>
      </c>
      <c r="W116" s="226"/>
      <c r="X116" s="226"/>
      <c r="Y116" s="226"/>
      <c r="Z116" s="226"/>
    </row>
    <row r="117" spans="1:26" s="241" customFormat="1">
      <c r="A117" s="247"/>
      <c r="B117" s="243" t="s">
        <v>739</v>
      </c>
      <c r="C117" s="243">
        <v>284525</v>
      </c>
      <c r="D117" s="243">
        <v>86446</v>
      </c>
      <c r="E117" s="243">
        <v>433005</v>
      </c>
      <c r="F117" s="243">
        <v>24728</v>
      </c>
      <c r="G117" s="243">
        <v>38720</v>
      </c>
      <c r="H117" s="243">
        <v>0</v>
      </c>
      <c r="I117" s="243">
        <v>0</v>
      </c>
      <c r="J117" s="243">
        <v>867424</v>
      </c>
      <c r="K117" s="245">
        <v>0</v>
      </c>
      <c r="L117" s="243">
        <v>0</v>
      </c>
      <c r="M117" s="243">
        <v>0</v>
      </c>
      <c r="N117" s="243">
        <v>0</v>
      </c>
      <c r="O117" s="243">
        <v>0</v>
      </c>
      <c r="P117" s="245">
        <v>5162</v>
      </c>
      <c r="Q117" s="243">
        <v>5162</v>
      </c>
      <c r="R117" s="249">
        <v>0</v>
      </c>
      <c r="S117" s="246">
        <v>0</v>
      </c>
      <c r="T117" s="226">
        <v>0</v>
      </c>
      <c r="U117" s="226">
        <v>0</v>
      </c>
      <c r="V117" s="226">
        <v>0</v>
      </c>
      <c r="W117" s="226"/>
      <c r="X117" s="226"/>
      <c r="Y117" s="226"/>
      <c r="Z117" s="226"/>
    </row>
    <row r="118" spans="1:26" s="241" customFormat="1">
      <c r="A118" s="236" t="s">
        <v>635</v>
      </c>
      <c r="B118" s="237" t="s">
        <v>732</v>
      </c>
      <c r="C118" s="237">
        <v>3178344.5</v>
      </c>
      <c r="D118" s="237">
        <v>186460.5</v>
      </c>
      <c r="E118" s="237">
        <v>1342365.1</v>
      </c>
      <c r="F118" s="237"/>
      <c r="G118" s="237">
        <v>144046</v>
      </c>
      <c r="H118" s="237">
        <v>47928</v>
      </c>
      <c r="I118" s="237"/>
      <c r="J118" s="237">
        <v>4899144.0999999996</v>
      </c>
      <c r="K118" s="239"/>
      <c r="L118" s="237"/>
      <c r="M118" s="237"/>
      <c r="N118" s="237">
        <v>1949172</v>
      </c>
      <c r="O118" s="237">
        <v>753338</v>
      </c>
      <c r="P118" s="239">
        <v>449938</v>
      </c>
      <c r="Q118" s="237">
        <v>3152448</v>
      </c>
      <c r="R118" s="248"/>
      <c r="S118" s="240"/>
      <c r="T118" s="226"/>
      <c r="U118" s="226"/>
      <c r="V118" s="226"/>
      <c r="W118" s="226"/>
      <c r="X118" s="226"/>
      <c r="Y118" s="226"/>
      <c r="Z118" s="226"/>
    </row>
    <row r="119" spans="1:26" s="241" customFormat="1">
      <c r="A119" s="242"/>
      <c r="B119" s="243" t="s">
        <v>733</v>
      </c>
      <c r="C119" s="243">
        <v>3230412</v>
      </c>
      <c r="D119" s="243">
        <v>186440.5</v>
      </c>
      <c r="E119" s="243">
        <v>1327865.7</v>
      </c>
      <c r="F119" s="243"/>
      <c r="G119" s="243">
        <v>141653</v>
      </c>
      <c r="H119" s="243">
        <v>46337</v>
      </c>
      <c r="I119" s="243"/>
      <c r="J119" s="243">
        <v>4932708.2</v>
      </c>
      <c r="K119" s="245"/>
      <c r="L119" s="243"/>
      <c r="M119" s="243"/>
      <c r="N119" s="243">
        <v>1865790</v>
      </c>
      <c r="O119" s="243">
        <v>736738</v>
      </c>
      <c r="P119" s="245">
        <v>434992</v>
      </c>
      <c r="Q119" s="243">
        <v>3037520</v>
      </c>
      <c r="R119" s="249"/>
      <c r="S119" s="246"/>
      <c r="T119" s="226"/>
      <c r="U119" s="226"/>
      <c r="V119" s="226"/>
      <c r="W119" s="226"/>
      <c r="X119" s="226"/>
      <c r="Y119" s="226"/>
      <c r="Z119" s="226"/>
    </row>
    <row r="120" spans="1:26" s="241" customFormat="1">
      <c r="A120" s="242"/>
      <c r="B120" s="237" t="s">
        <v>734</v>
      </c>
      <c r="C120" s="237">
        <v>302166</v>
      </c>
      <c r="D120" s="237">
        <v>651</v>
      </c>
      <c r="E120" s="237">
        <v>113881</v>
      </c>
      <c r="F120" s="237">
        <v>0</v>
      </c>
      <c r="G120" s="237">
        <v>0</v>
      </c>
      <c r="H120" s="237">
        <v>10839</v>
      </c>
      <c r="I120" s="237">
        <v>0</v>
      </c>
      <c r="J120" s="237">
        <v>427537</v>
      </c>
      <c r="K120" s="239">
        <v>0</v>
      </c>
      <c r="L120" s="237">
        <v>0</v>
      </c>
      <c r="M120" s="237">
        <v>0</v>
      </c>
      <c r="N120" s="237">
        <v>543540</v>
      </c>
      <c r="O120" s="237">
        <v>237634</v>
      </c>
      <c r="P120" s="239">
        <v>162065</v>
      </c>
      <c r="Q120" s="237">
        <v>943239</v>
      </c>
      <c r="R120" s="248">
        <v>0</v>
      </c>
      <c r="S120" s="240">
        <v>0</v>
      </c>
      <c r="T120" s="226">
        <v>0</v>
      </c>
      <c r="U120" s="226">
        <v>0</v>
      </c>
      <c r="V120" s="226">
        <v>0</v>
      </c>
      <c r="W120" s="226"/>
      <c r="X120" s="226"/>
      <c r="Y120" s="226"/>
      <c r="Z120" s="226"/>
    </row>
    <row r="121" spans="1:26" s="241" customFormat="1">
      <c r="A121" s="242"/>
      <c r="B121" s="243" t="s">
        <v>735</v>
      </c>
      <c r="C121" s="243">
        <v>344472.5</v>
      </c>
      <c r="D121" s="243">
        <v>740</v>
      </c>
      <c r="E121" s="243">
        <v>125234</v>
      </c>
      <c r="F121" s="243">
        <v>0</v>
      </c>
      <c r="G121" s="243">
        <v>0</v>
      </c>
      <c r="H121" s="243">
        <v>11516</v>
      </c>
      <c r="I121" s="243">
        <v>0</v>
      </c>
      <c r="J121" s="243">
        <v>481962.5</v>
      </c>
      <c r="K121" s="245">
        <v>0</v>
      </c>
      <c r="L121" s="243">
        <v>0</v>
      </c>
      <c r="M121" s="243">
        <v>0</v>
      </c>
      <c r="N121" s="243">
        <v>539676</v>
      </c>
      <c r="O121" s="243">
        <v>242807</v>
      </c>
      <c r="P121" s="245">
        <v>167797</v>
      </c>
      <c r="Q121" s="243">
        <v>950280</v>
      </c>
      <c r="R121" s="249">
        <v>0</v>
      </c>
      <c r="S121" s="246">
        <v>0</v>
      </c>
      <c r="T121" s="226">
        <v>0</v>
      </c>
      <c r="U121" s="226">
        <v>0</v>
      </c>
      <c r="V121" s="226">
        <v>0</v>
      </c>
      <c r="W121" s="226"/>
      <c r="X121" s="226"/>
      <c r="Y121" s="226"/>
      <c r="Z121" s="226"/>
    </row>
    <row r="122" spans="1:26" s="241" customFormat="1">
      <c r="A122" s="242"/>
      <c r="B122" s="237" t="s">
        <v>736</v>
      </c>
      <c r="C122" s="237">
        <v>706973</v>
      </c>
      <c r="D122" s="237">
        <v>61157.5</v>
      </c>
      <c r="E122" s="237">
        <v>90507</v>
      </c>
      <c r="F122" s="237"/>
      <c r="G122" s="237">
        <v>3412</v>
      </c>
      <c r="H122" s="237">
        <v>0</v>
      </c>
      <c r="I122" s="237"/>
      <c r="J122" s="237">
        <v>862049.5</v>
      </c>
      <c r="K122" s="239"/>
      <c r="L122" s="237"/>
      <c r="M122" s="237"/>
      <c r="N122" s="237">
        <v>0</v>
      </c>
      <c r="O122" s="237">
        <v>0</v>
      </c>
      <c r="P122" s="239">
        <v>0</v>
      </c>
      <c r="Q122" s="237">
        <v>0</v>
      </c>
      <c r="R122" s="248"/>
      <c r="S122" s="240"/>
      <c r="T122" s="226"/>
      <c r="U122" s="226"/>
      <c r="V122" s="226"/>
      <c r="W122" s="226"/>
      <c r="X122" s="226"/>
      <c r="Y122" s="226"/>
      <c r="Z122" s="226"/>
    </row>
    <row r="123" spans="1:26" s="241" customFormat="1">
      <c r="A123" s="242"/>
      <c r="B123" s="243" t="s">
        <v>737</v>
      </c>
      <c r="C123" s="243">
        <v>709963</v>
      </c>
      <c r="D123" s="243">
        <v>61312.5</v>
      </c>
      <c r="E123" s="243">
        <v>90711.4</v>
      </c>
      <c r="F123" s="243"/>
      <c r="G123" s="243">
        <v>3022</v>
      </c>
      <c r="H123" s="243">
        <v>0</v>
      </c>
      <c r="I123" s="243"/>
      <c r="J123" s="243">
        <v>865008.9</v>
      </c>
      <c r="K123" s="245"/>
      <c r="L123" s="243"/>
      <c r="M123" s="243"/>
      <c r="N123" s="243">
        <v>0</v>
      </c>
      <c r="O123" s="243">
        <v>0</v>
      </c>
      <c r="P123" s="245">
        <v>0</v>
      </c>
      <c r="Q123" s="243">
        <v>0</v>
      </c>
      <c r="R123" s="249"/>
      <c r="S123" s="246"/>
      <c r="T123" s="226"/>
      <c r="U123" s="226"/>
      <c r="V123" s="226"/>
      <c r="W123" s="226"/>
      <c r="X123" s="226"/>
      <c r="Y123" s="226"/>
      <c r="Z123" s="226"/>
    </row>
    <row r="124" spans="1:26" s="241" customFormat="1">
      <c r="A124" s="242"/>
      <c r="B124" s="237" t="s">
        <v>738</v>
      </c>
      <c r="C124" s="237">
        <v>98658.5</v>
      </c>
      <c r="D124" s="237">
        <v>5751</v>
      </c>
      <c r="E124" s="237">
        <v>20562.8</v>
      </c>
      <c r="F124" s="237">
        <v>0</v>
      </c>
      <c r="G124" s="237">
        <v>0</v>
      </c>
      <c r="H124" s="237">
        <v>0</v>
      </c>
      <c r="I124" s="237">
        <v>0</v>
      </c>
      <c r="J124" s="237">
        <v>124972.3</v>
      </c>
      <c r="K124" s="239">
        <v>0</v>
      </c>
      <c r="L124" s="237">
        <v>0</v>
      </c>
      <c r="M124" s="237">
        <v>0</v>
      </c>
      <c r="N124" s="237">
        <v>0</v>
      </c>
      <c r="O124" s="237">
        <v>0</v>
      </c>
      <c r="P124" s="239">
        <v>0</v>
      </c>
      <c r="Q124" s="237">
        <v>0</v>
      </c>
      <c r="R124" s="248">
        <v>0</v>
      </c>
      <c r="S124" s="240">
        <v>0</v>
      </c>
      <c r="T124" s="226">
        <v>0</v>
      </c>
      <c r="U124" s="226">
        <v>0</v>
      </c>
      <c r="V124" s="226">
        <v>0</v>
      </c>
      <c r="W124" s="226"/>
      <c r="X124" s="226"/>
      <c r="Y124" s="226"/>
      <c r="Z124" s="226"/>
    </row>
    <row r="125" spans="1:26" s="241" customFormat="1">
      <c r="A125" s="247"/>
      <c r="B125" s="243" t="s">
        <v>739</v>
      </c>
      <c r="C125" s="243">
        <v>109110.5</v>
      </c>
      <c r="D125" s="243">
        <v>7617</v>
      </c>
      <c r="E125" s="243">
        <v>23525</v>
      </c>
      <c r="F125" s="243">
        <v>0</v>
      </c>
      <c r="G125" s="243">
        <v>0</v>
      </c>
      <c r="H125" s="243">
        <v>0</v>
      </c>
      <c r="I125" s="243">
        <v>0</v>
      </c>
      <c r="J125" s="243">
        <v>140252.5</v>
      </c>
      <c r="K125" s="245">
        <v>0</v>
      </c>
      <c r="L125" s="243">
        <v>0</v>
      </c>
      <c r="M125" s="243">
        <v>0</v>
      </c>
      <c r="N125" s="243">
        <v>0</v>
      </c>
      <c r="O125" s="243">
        <v>0</v>
      </c>
      <c r="P125" s="245">
        <v>0</v>
      </c>
      <c r="Q125" s="243">
        <v>0</v>
      </c>
      <c r="R125" s="249">
        <v>0</v>
      </c>
      <c r="S125" s="246">
        <v>0</v>
      </c>
      <c r="T125" s="226">
        <v>0</v>
      </c>
      <c r="U125" s="226">
        <v>0</v>
      </c>
      <c r="V125" s="226">
        <v>0</v>
      </c>
      <c r="W125" s="226"/>
      <c r="X125" s="226"/>
      <c r="Y125" s="226"/>
      <c r="Z125" s="226"/>
    </row>
    <row r="126" spans="1:26" s="241" customFormat="1">
      <c r="A126" s="236" t="s">
        <v>674</v>
      </c>
      <c r="B126" s="237" t="s">
        <v>732</v>
      </c>
      <c r="C126" s="237">
        <v>652521</v>
      </c>
      <c r="D126" s="237"/>
      <c r="E126" s="237">
        <v>261348</v>
      </c>
      <c r="F126" s="237"/>
      <c r="G126" s="237">
        <v>304438</v>
      </c>
      <c r="H126" s="237">
        <v>177089</v>
      </c>
      <c r="I126" s="237">
        <v>0</v>
      </c>
      <c r="J126" s="237">
        <v>1395396</v>
      </c>
      <c r="K126" s="239">
        <v>0</v>
      </c>
      <c r="L126" s="237">
        <v>0</v>
      </c>
      <c r="M126" s="237">
        <v>91128</v>
      </c>
      <c r="N126" s="237"/>
      <c r="O126" s="237"/>
      <c r="P126" s="239">
        <v>292771</v>
      </c>
      <c r="Q126" s="237">
        <v>383899</v>
      </c>
      <c r="R126" s="248"/>
      <c r="S126" s="240"/>
      <c r="T126" s="226"/>
      <c r="U126" s="226"/>
      <c r="V126" s="226"/>
      <c r="W126" s="226"/>
      <c r="X126" s="226"/>
      <c r="Y126" s="226"/>
      <c r="Z126" s="226"/>
    </row>
    <row r="127" spans="1:26" s="241" customFormat="1">
      <c r="A127" s="242"/>
      <c r="B127" s="243" t="s">
        <v>733</v>
      </c>
      <c r="C127" s="243">
        <v>625795</v>
      </c>
      <c r="D127" s="243"/>
      <c r="E127" s="243">
        <v>256593</v>
      </c>
      <c r="F127" s="243"/>
      <c r="G127" s="243">
        <v>297148</v>
      </c>
      <c r="H127" s="243">
        <v>177494</v>
      </c>
      <c r="I127" s="243">
        <v>0</v>
      </c>
      <c r="J127" s="243">
        <v>1357030</v>
      </c>
      <c r="K127" s="245">
        <v>0</v>
      </c>
      <c r="L127" s="243">
        <v>0</v>
      </c>
      <c r="M127" s="243">
        <v>87136</v>
      </c>
      <c r="N127" s="243"/>
      <c r="O127" s="243"/>
      <c r="P127" s="245">
        <v>282461</v>
      </c>
      <c r="Q127" s="243">
        <v>369597</v>
      </c>
      <c r="R127" s="249"/>
      <c r="S127" s="246"/>
      <c r="T127" s="226"/>
      <c r="U127" s="226"/>
      <c r="V127" s="226"/>
      <c r="W127" s="226"/>
      <c r="X127" s="226"/>
      <c r="Y127" s="226"/>
      <c r="Z127" s="226"/>
    </row>
    <row r="128" spans="1:26" s="241" customFormat="1">
      <c r="A128" s="242"/>
      <c r="B128" s="237" t="s">
        <v>734</v>
      </c>
      <c r="C128" s="237">
        <v>75292</v>
      </c>
      <c r="D128" s="237">
        <v>0</v>
      </c>
      <c r="E128" s="237">
        <v>43751</v>
      </c>
      <c r="F128" s="237">
        <v>0</v>
      </c>
      <c r="G128" s="237">
        <v>40246</v>
      </c>
      <c r="H128" s="237">
        <v>45336</v>
      </c>
      <c r="I128" s="237">
        <v>0</v>
      </c>
      <c r="J128" s="237">
        <v>204625</v>
      </c>
      <c r="K128" s="239">
        <v>0</v>
      </c>
      <c r="L128" s="237">
        <v>0</v>
      </c>
      <c r="M128" s="237">
        <v>23034</v>
      </c>
      <c r="N128" s="237">
        <v>0</v>
      </c>
      <c r="O128" s="237">
        <v>0</v>
      </c>
      <c r="P128" s="239">
        <v>81466</v>
      </c>
      <c r="Q128" s="237">
        <v>104500</v>
      </c>
      <c r="R128" s="248">
        <v>0</v>
      </c>
      <c r="S128" s="240">
        <v>0</v>
      </c>
      <c r="T128" s="226">
        <v>0</v>
      </c>
      <c r="U128" s="226">
        <v>0</v>
      </c>
      <c r="V128" s="226">
        <v>0</v>
      </c>
      <c r="W128" s="226"/>
      <c r="X128" s="226"/>
      <c r="Y128" s="226"/>
      <c r="Z128" s="226"/>
    </row>
    <row r="129" spans="1:26" s="241" customFormat="1">
      <c r="A129" s="242"/>
      <c r="B129" s="243" t="s">
        <v>735</v>
      </c>
      <c r="C129" s="243">
        <v>73069</v>
      </c>
      <c r="D129" s="243">
        <v>0</v>
      </c>
      <c r="E129" s="243">
        <v>45440</v>
      </c>
      <c r="F129" s="243">
        <v>0</v>
      </c>
      <c r="G129" s="243">
        <v>49939</v>
      </c>
      <c r="H129" s="243">
        <v>49843</v>
      </c>
      <c r="I129" s="243">
        <v>0</v>
      </c>
      <c r="J129" s="243">
        <v>218291</v>
      </c>
      <c r="K129" s="245">
        <v>0</v>
      </c>
      <c r="L129" s="243">
        <v>0</v>
      </c>
      <c r="M129" s="243">
        <v>27708</v>
      </c>
      <c r="N129" s="243">
        <v>0</v>
      </c>
      <c r="O129" s="243">
        <v>0</v>
      </c>
      <c r="P129" s="245">
        <v>87190</v>
      </c>
      <c r="Q129" s="243">
        <v>114898</v>
      </c>
      <c r="R129" s="249">
        <v>0</v>
      </c>
      <c r="S129" s="246">
        <v>0</v>
      </c>
      <c r="T129" s="226">
        <v>0</v>
      </c>
      <c r="U129" s="226">
        <v>0</v>
      </c>
      <c r="V129" s="226">
        <v>0</v>
      </c>
      <c r="W129" s="226"/>
      <c r="X129" s="226"/>
      <c r="Y129" s="226"/>
      <c r="Z129" s="226"/>
    </row>
    <row r="130" spans="1:26" s="241" customFormat="1">
      <c r="A130" s="242"/>
      <c r="B130" s="237" t="s">
        <v>736</v>
      </c>
      <c r="C130" s="237">
        <v>91119</v>
      </c>
      <c r="D130" s="237"/>
      <c r="E130" s="237">
        <v>69223</v>
      </c>
      <c r="F130" s="237"/>
      <c r="G130" s="237">
        <v>21942</v>
      </c>
      <c r="H130" s="237">
        <v>1887</v>
      </c>
      <c r="I130" s="237">
        <v>0</v>
      </c>
      <c r="J130" s="237">
        <v>184171</v>
      </c>
      <c r="K130" s="239">
        <v>0</v>
      </c>
      <c r="L130" s="237">
        <v>0</v>
      </c>
      <c r="M130" s="237">
        <v>0</v>
      </c>
      <c r="N130" s="237"/>
      <c r="O130" s="237"/>
      <c r="P130" s="239">
        <v>0</v>
      </c>
      <c r="Q130" s="237">
        <v>0</v>
      </c>
      <c r="R130" s="248"/>
      <c r="S130" s="240"/>
      <c r="T130" s="226"/>
      <c r="U130" s="226"/>
      <c r="V130" s="226"/>
      <c r="W130" s="226"/>
      <c r="X130" s="226"/>
      <c r="Y130" s="226"/>
      <c r="Z130" s="226"/>
    </row>
    <row r="131" spans="1:26" s="241" customFormat="1">
      <c r="A131" s="242"/>
      <c r="B131" s="243" t="s">
        <v>737</v>
      </c>
      <c r="C131" s="243">
        <v>86140</v>
      </c>
      <c r="D131" s="243"/>
      <c r="E131" s="243">
        <v>67756</v>
      </c>
      <c r="F131" s="243"/>
      <c r="G131" s="243">
        <v>22298</v>
      </c>
      <c r="H131" s="243">
        <v>2304</v>
      </c>
      <c r="I131" s="243">
        <v>0</v>
      </c>
      <c r="J131" s="243">
        <v>178498</v>
      </c>
      <c r="K131" s="245">
        <v>0</v>
      </c>
      <c r="L131" s="243">
        <v>0</v>
      </c>
      <c r="M131" s="243">
        <v>0</v>
      </c>
      <c r="N131" s="243"/>
      <c r="O131" s="243"/>
      <c r="P131" s="245">
        <v>0</v>
      </c>
      <c r="Q131" s="243">
        <v>0</v>
      </c>
      <c r="R131" s="249"/>
      <c r="S131" s="246"/>
      <c r="T131" s="226"/>
      <c r="U131" s="226"/>
      <c r="V131" s="226"/>
      <c r="W131" s="226"/>
      <c r="X131" s="226"/>
      <c r="Y131" s="226"/>
      <c r="Z131" s="226"/>
    </row>
    <row r="132" spans="1:26" s="241" customFormat="1">
      <c r="A132" s="242"/>
      <c r="B132" s="237" t="s">
        <v>738</v>
      </c>
      <c r="C132" s="237">
        <v>26755</v>
      </c>
      <c r="D132" s="237">
        <v>0</v>
      </c>
      <c r="E132" s="237">
        <v>16372</v>
      </c>
      <c r="F132" s="237">
        <v>0</v>
      </c>
      <c r="G132" s="237">
        <v>10678</v>
      </c>
      <c r="H132" s="237">
        <v>507</v>
      </c>
      <c r="I132" s="237">
        <v>0</v>
      </c>
      <c r="J132" s="237">
        <v>54312</v>
      </c>
      <c r="K132" s="239">
        <v>0</v>
      </c>
      <c r="L132" s="237">
        <v>0</v>
      </c>
      <c r="M132" s="237">
        <v>0</v>
      </c>
      <c r="N132" s="237">
        <v>0</v>
      </c>
      <c r="O132" s="237">
        <v>0</v>
      </c>
      <c r="P132" s="239">
        <v>0</v>
      </c>
      <c r="Q132" s="237">
        <v>0</v>
      </c>
      <c r="R132" s="248">
        <v>0</v>
      </c>
      <c r="S132" s="240">
        <v>0</v>
      </c>
      <c r="T132" s="226">
        <v>0</v>
      </c>
      <c r="U132" s="226">
        <v>0</v>
      </c>
      <c r="V132" s="226">
        <v>0</v>
      </c>
      <c r="W132" s="226"/>
      <c r="X132" s="226"/>
      <c r="Y132" s="226"/>
      <c r="Z132" s="226"/>
    </row>
    <row r="133" spans="1:26" s="241" customFormat="1">
      <c r="A133" s="247"/>
      <c r="B133" s="243" t="s">
        <v>739</v>
      </c>
      <c r="C133" s="243">
        <v>24648</v>
      </c>
      <c r="D133" s="243">
        <v>0</v>
      </c>
      <c r="E133" s="243">
        <v>21772</v>
      </c>
      <c r="F133" s="243">
        <v>0</v>
      </c>
      <c r="G133" s="243">
        <v>11989</v>
      </c>
      <c r="H133" s="243">
        <v>666</v>
      </c>
      <c r="I133" s="243">
        <v>0</v>
      </c>
      <c r="J133" s="243">
        <v>59075</v>
      </c>
      <c r="K133" s="245">
        <v>0</v>
      </c>
      <c r="L133" s="243">
        <v>0</v>
      </c>
      <c r="M133" s="243">
        <v>0</v>
      </c>
      <c r="N133" s="243">
        <v>0</v>
      </c>
      <c r="O133" s="243">
        <v>0</v>
      </c>
      <c r="P133" s="245">
        <v>0</v>
      </c>
      <c r="Q133" s="243">
        <v>0</v>
      </c>
      <c r="R133" s="249">
        <v>0</v>
      </c>
      <c r="S133" s="246">
        <v>0</v>
      </c>
      <c r="T133" s="226">
        <v>0</v>
      </c>
      <c r="U133" s="226">
        <v>0</v>
      </c>
      <c r="V133" s="226">
        <v>0</v>
      </c>
      <c r="W133" s="226"/>
      <c r="X133" s="226"/>
      <c r="Y133" s="226"/>
      <c r="Z133" s="226"/>
    </row>
    <row r="134" spans="1:26" s="241" customFormat="1">
      <c r="B134" s="252"/>
      <c r="P134" s="253"/>
      <c r="S134" s="254"/>
      <c r="T134" s="254"/>
      <c r="U134" s="254"/>
      <c r="V134" s="254"/>
    </row>
    <row r="135" spans="1:26" s="241" customFormat="1">
      <c r="S135" s="254"/>
      <c r="T135" s="254"/>
      <c r="U135" s="254"/>
      <c r="V135" s="254"/>
    </row>
    <row r="136" spans="1:26" s="241" customFormat="1">
      <c r="S136" s="254"/>
      <c r="T136" s="254"/>
      <c r="U136" s="254"/>
      <c r="V136" s="254"/>
    </row>
    <row r="137" spans="1:26" s="241" customFormat="1">
      <c r="B137" s="252"/>
      <c r="P137" s="253"/>
      <c r="S137" s="254"/>
      <c r="T137" s="254"/>
      <c r="U137" s="254"/>
      <c r="V137" s="254"/>
    </row>
    <row r="138" spans="1:26" s="241" customFormat="1">
      <c r="S138" s="254"/>
      <c r="T138" s="254"/>
      <c r="U138" s="254"/>
      <c r="V138" s="254"/>
    </row>
    <row r="139" spans="1:26" s="241" customFormat="1">
      <c r="S139" s="254"/>
      <c r="T139" s="254"/>
      <c r="U139" s="254"/>
      <c r="V139" s="254"/>
    </row>
    <row r="140" spans="1:26" s="241" customFormat="1">
      <c r="B140" s="252"/>
      <c r="P140" s="253"/>
      <c r="S140" s="254"/>
      <c r="T140" s="254"/>
      <c r="U140" s="254"/>
      <c r="V140" s="254"/>
    </row>
    <row r="141" spans="1:26" s="241" customFormat="1">
      <c r="S141" s="254"/>
      <c r="T141" s="254"/>
      <c r="U141" s="254"/>
      <c r="V141" s="254"/>
    </row>
    <row r="142" spans="1:26" s="241" customFormat="1">
      <c r="S142" s="254"/>
      <c r="T142" s="254"/>
      <c r="U142" s="254"/>
      <c r="V142" s="254"/>
    </row>
    <row r="143" spans="1:26" s="241" customFormat="1">
      <c r="B143" s="252"/>
      <c r="P143" s="253"/>
      <c r="S143" s="254"/>
      <c r="T143" s="254"/>
      <c r="U143" s="254"/>
      <c r="V143" s="254"/>
    </row>
    <row r="144" spans="1:26" s="241" customFormat="1">
      <c r="S144" s="254"/>
      <c r="T144" s="254"/>
      <c r="U144" s="254"/>
      <c r="V144" s="254"/>
    </row>
    <row r="145" spans="2:22" s="241" customFormat="1">
      <c r="S145" s="254"/>
      <c r="T145" s="254"/>
      <c r="U145" s="254"/>
      <c r="V145" s="254"/>
    </row>
    <row r="146" spans="2:22" s="241" customFormat="1">
      <c r="B146" s="252"/>
      <c r="P146" s="253"/>
      <c r="S146" s="254"/>
      <c r="T146" s="254"/>
      <c r="U146" s="254"/>
      <c r="V146" s="254"/>
    </row>
    <row r="147" spans="2:22" s="241" customFormat="1">
      <c r="S147" s="254"/>
      <c r="T147" s="254"/>
      <c r="U147" s="254"/>
      <c r="V147" s="254"/>
    </row>
    <row r="148" spans="2:22" s="241" customFormat="1">
      <c r="S148" s="254"/>
      <c r="T148" s="254"/>
      <c r="U148" s="254"/>
      <c r="V148" s="254"/>
    </row>
    <row r="149" spans="2:22" s="241" customFormat="1">
      <c r="B149" s="252"/>
      <c r="P149" s="253"/>
      <c r="S149" s="254"/>
      <c r="T149" s="254"/>
      <c r="U149" s="254"/>
      <c r="V149" s="254"/>
    </row>
    <row r="150" spans="2:22" s="241" customFormat="1">
      <c r="S150" s="254"/>
      <c r="T150" s="254"/>
      <c r="U150" s="254"/>
      <c r="V150" s="254"/>
    </row>
    <row r="151" spans="2:22" s="241" customFormat="1">
      <c r="S151" s="254"/>
      <c r="T151" s="254"/>
      <c r="U151" s="254"/>
      <c r="V151" s="254"/>
    </row>
    <row r="152" spans="2:22" s="241" customFormat="1">
      <c r="B152" s="252"/>
      <c r="P152" s="253"/>
      <c r="S152" s="254"/>
      <c r="T152" s="254"/>
      <c r="U152" s="254"/>
      <c r="V152" s="254"/>
    </row>
    <row r="153" spans="2:22" s="241" customFormat="1">
      <c r="S153" s="254"/>
      <c r="T153" s="254"/>
      <c r="U153" s="254"/>
      <c r="V153" s="254"/>
    </row>
    <row r="154" spans="2:22" s="241" customFormat="1">
      <c r="S154" s="254"/>
      <c r="T154" s="254"/>
      <c r="U154" s="254"/>
      <c r="V154" s="254"/>
    </row>
    <row r="155" spans="2:22" s="241" customFormat="1">
      <c r="B155" s="252"/>
      <c r="P155" s="253"/>
      <c r="S155" s="254"/>
      <c r="T155" s="254"/>
      <c r="U155" s="254"/>
      <c r="V155" s="254"/>
    </row>
    <row r="156" spans="2:22" s="241" customFormat="1">
      <c r="S156" s="254"/>
      <c r="T156" s="254"/>
      <c r="U156" s="254"/>
      <c r="V156" s="254"/>
    </row>
    <row r="157" spans="2:22" s="241" customFormat="1">
      <c r="S157" s="254"/>
      <c r="T157" s="254"/>
      <c r="U157" s="254"/>
      <c r="V157" s="254"/>
    </row>
    <row r="158" spans="2:22" s="241" customFormat="1">
      <c r="B158" s="252"/>
      <c r="P158" s="253"/>
      <c r="S158" s="254"/>
      <c r="T158" s="254"/>
      <c r="U158" s="254"/>
      <c r="V158" s="254"/>
    </row>
    <row r="159" spans="2:22" s="241" customFormat="1">
      <c r="S159" s="254"/>
      <c r="T159" s="254"/>
      <c r="U159" s="254"/>
      <c r="V159" s="254"/>
    </row>
    <row r="160" spans="2:22" s="241" customFormat="1">
      <c r="S160" s="254"/>
      <c r="T160" s="254"/>
      <c r="U160" s="254"/>
      <c r="V160" s="254"/>
    </row>
    <row r="161" spans="2:22" s="241" customFormat="1">
      <c r="B161" s="252"/>
      <c r="P161" s="253"/>
      <c r="S161" s="254"/>
      <c r="T161" s="254"/>
      <c r="U161" s="254"/>
      <c r="V161" s="254"/>
    </row>
    <row r="162" spans="2:22" s="241" customFormat="1">
      <c r="S162" s="254"/>
      <c r="T162" s="254"/>
      <c r="U162" s="254"/>
      <c r="V162" s="254"/>
    </row>
    <row r="163" spans="2:22" s="241" customFormat="1">
      <c r="S163" s="254"/>
      <c r="T163" s="254"/>
      <c r="U163" s="254"/>
      <c r="V163" s="254"/>
    </row>
    <row r="164" spans="2:22" s="241" customFormat="1">
      <c r="B164" s="252"/>
      <c r="P164" s="253"/>
      <c r="S164" s="254"/>
      <c r="T164" s="254"/>
      <c r="U164" s="254"/>
      <c r="V164" s="254"/>
    </row>
    <row r="165" spans="2:22" s="241" customFormat="1">
      <c r="S165" s="254"/>
      <c r="T165" s="254"/>
      <c r="U165" s="254"/>
      <c r="V165" s="254"/>
    </row>
    <row r="166" spans="2:22" s="241" customFormat="1">
      <c r="S166" s="254"/>
      <c r="T166" s="254"/>
      <c r="U166" s="254"/>
      <c r="V166" s="254"/>
    </row>
    <row r="167" spans="2:22" s="241" customFormat="1">
      <c r="B167" s="252"/>
      <c r="P167" s="253"/>
      <c r="S167" s="254"/>
      <c r="T167" s="254"/>
      <c r="U167" s="254"/>
      <c r="V167" s="254"/>
    </row>
    <row r="168" spans="2:22" s="241" customFormat="1">
      <c r="S168" s="254"/>
      <c r="T168" s="254"/>
      <c r="U168" s="254"/>
      <c r="V168" s="254"/>
    </row>
    <row r="169" spans="2:22" s="241" customFormat="1">
      <c r="S169" s="254"/>
      <c r="T169" s="254"/>
      <c r="U169" s="254"/>
      <c r="V169" s="254"/>
    </row>
    <row r="170" spans="2:22" s="241" customFormat="1">
      <c r="B170" s="252"/>
      <c r="P170" s="253"/>
      <c r="S170" s="254"/>
      <c r="T170" s="254"/>
      <c r="U170" s="254"/>
      <c r="V170" s="254"/>
    </row>
    <row r="171" spans="2:22" s="241" customFormat="1">
      <c r="S171" s="254"/>
      <c r="T171" s="254"/>
      <c r="U171" s="254"/>
      <c r="V171" s="254"/>
    </row>
    <row r="172" spans="2:22" s="241" customFormat="1">
      <c r="S172" s="254"/>
      <c r="T172" s="254"/>
      <c r="U172" s="254"/>
      <c r="V172" s="254"/>
    </row>
    <row r="173" spans="2:22" s="241" customFormat="1">
      <c r="B173" s="252"/>
      <c r="P173" s="253"/>
      <c r="S173" s="254"/>
      <c r="T173" s="254"/>
      <c r="U173" s="254"/>
      <c r="V173" s="254"/>
    </row>
    <row r="174" spans="2:22" s="241" customFormat="1">
      <c r="S174" s="254"/>
      <c r="T174" s="254"/>
      <c r="U174" s="254"/>
      <c r="V174" s="254"/>
    </row>
    <row r="175" spans="2:22" s="241" customFormat="1">
      <c r="S175" s="254"/>
      <c r="T175" s="254"/>
      <c r="U175" s="254"/>
      <c r="V175" s="254"/>
    </row>
    <row r="176" spans="2:22" s="241" customFormat="1">
      <c r="B176" s="252"/>
      <c r="P176" s="253"/>
      <c r="S176" s="254"/>
      <c r="T176" s="254"/>
      <c r="U176" s="254"/>
      <c r="V176" s="254"/>
    </row>
    <row r="177" spans="2:22" s="241" customFormat="1">
      <c r="S177" s="254"/>
      <c r="T177" s="254"/>
      <c r="U177" s="254"/>
      <c r="V177" s="254"/>
    </row>
    <row r="178" spans="2:22" s="241" customFormat="1">
      <c r="S178" s="254"/>
      <c r="T178" s="254"/>
      <c r="U178" s="254"/>
      <c r="V178" s="254"/>
    </row>
    <row r="179" spans="2:22" s="241" customFormat="1">
      <c r="B179" s="252"/>
      <c r="P179" s="253"/>
      <c r="S179" s="254"/>
      <c r="T179" s="254"/>
      <c r="U179" s="254"/>
      <c r="V179" s="254"/>
    </row>
    <row r="180" spans="2:22" s="241" customFormat="1">
      <c r="S180" s="254"/>
      <c r="T180" s="254"/>
      <c r="U180" s="254"/>
      <c r="V180" s="254"/>
    </row>
    <row r="181" spans="2:22" s="241" customFormat="1">
      <c r="S181" s="254"/>
      <c r="T181" s="254"/>
      <c r="U181" s="254"/>
      <c r="V181" s="254"/>
    </row>
    <row r="182" spans="2:22" s="241" customFormat="1">
      <c r="B182" s="252"/>
      <c r="P182" s="253"/>
      <c r="S182" s="254"/>
      <c r="T182" s="254"/>
      <c r="U182" s="254"/>
      <c r="V182" s="254"/>
    </row>
    <row r="183" spans="2:22" s="241" customFormat="1">
      <c r="S183" s="254"/>
      <c r="T183" s="254"/>
      <c r="U183" s="254"/>
      <c r="V183" s="254"/>
    </row>
    <row r="184" spans="2:22" s="241" customFormat="1">
      <c r="S184" s="254"/>
      <c r="T184" s="254"/>
      <c r="U184" s="254"/>
      <c r="V184" s="254"/>
    </row>
    <row r="185" spans="2:22" s="241" customFormat="1">
      <c r="B185" s="252"/>
      <c r="P185" s="253"/>
      <c r="S185" s="254"/>
      <c r="T185" s="254"/>
      <c r="U185" s="254"/>
      <c r="V185" s="254"/>
    </row>
    <row r="186" spans="2:22" s="241" customFormat="1">
      <c r="S186" s="254"/>
      <c r="T186" s="254"/>
      <c r="U186" s="254"/>
      <c r="V186" s="254"/>
    </row>
    <row r="187" spans="2:22" s="241" customFormat="1">
      <c r="S187" s="254"/>
      <c r="T187" s="254"/>
      <c r="U187" s="254"/>
      <c r="V187" s="254"/>
    </row>
    <row r="188" spans="2:22" s="241" customFormat="1">
      <c r="B188" s="252"/>
      <c r="P188" s="253"/>
      <c r="S188" s="254"/>
      <c r="T188" s="254"/>
      <c r="U188" s="254"/>
      <c r="V188" s="254"/>
    </row>
    <row r="189" spans="2:22" s="241" customFormat="1">
      <c r="S189" s="254"/>
      <c r="T189" s="254"/>
      <c r="U189" s="254"/>
      <c r="V189" s="254"/>
    </row>
    <row r="190" spans="2:22" s="241" customFormat="1">
      <c r="S190" s="254"/>
      <c r="T190" s="254"/>
      <c r="U190" s="254"/>
      <c r="V190" s="254"/>
    </row>
    <row r="191" spans="2:22" s="241" customFormat="1">
      <c r="B191" s="252"/>
      <c r="P191" s="253"/>
      <c r="S191" s="254"/>
      <c r="T191" s="254"/>
      <c r="U191" s="254"/>
      <c r="V191" s="254"/>
    </row>
    <row r="192" spans="2:22" s="241" customFormat="1">
      <c r="S192" s="254"/>
      <c r="T192" s="254"/>
      <c r="U192" s="254"/>
      <c r="V192" s="254"/>
    </row>
    <row r="193" spans="2:22" s="241" customFormat="1">
      <c r="S193" s="254"/>
      <c r="T193" s="254"/>
      <c r="U193" s="254"/>
      <c r="V193" s="254"/>
    </row>
    <row r="194" spans="2:22" s="241" customFormat="1">
      <c r="B194" s="252"/>
      <c r="P194" s="253"/>
      <c r="S194" s="254"/>
      <c r="T194" s="254"/>
      <c r="U194" s="254"/>
      <c r="V194" s="254"/>
    </row>
    <row r="195" spans="2:22" s="241" customFormat="1">
      <c r="S195" s="254"/>
      <c r="T195" s="254"/>
      <c r="U195" s="254"/>
      <c r="V195" s="254"/>
    </row>
    <row r="196" spans="2:22" s="241" customFormat="1">
      <c r="S196" s="254"/>
      <c r="T196" s="254"/>
      <c r="U196" s="254"/>
      <c r="V196" s="254"/>
    </row>
    <row r="197" spans="2:22" s="241" customFormat="1">
      <c r="B197" s="252"/>
      <c r="P197" s="253"/>
      <c r="S197" s="254"/>
      <c r="T197" s="254"/>
      <c r="U197" s="254"/>
      <c r="V197" s="254"/>
    </row>
    <row r="198" spans="2:22" s="241" customFormat="1">
      <c r="S198" s="254"/>
      <c r="T198" s="254"/>
      <c r="U198" s="254"/>
      <c r="V198" s="254"/>
    </row>
    <row r="199" spans="2:22" s="241" customFormat="1">
      <c r="S199" s="254"/>
      <c r="T199" s="254"/>
      <c r="U199" s="254"/>
      <c r="V199" s="254"/>
    </row>
    <row r="200" spans="2:22" s="241" customFormat="1">
      <c r="B200" s="252"/>
      <c r="P200" s="253"/>
      <c r="S200" s="254"/>
      <c r="T200" s="254"/>
      <c r="U200" s="254"/>
      <c r="V200" s="254"/>
    </row>
    <row r="201" spans="2:22" s="241" customFormat="1">
      <c r="S201" s="254"/>
      <c r="T201" s="254"/>
      <c r="U201" s="254"/>
      <c r="V201" s="254"/>
    </row>
    <row r="202" spans="2:22" s="241" customFormat="1">
      <c r="S202" s="254"/>
      <c r="T202" s="254"/>
      <c r="U202" s="254"/>
      <c r="V202" s="254"/>
    </row>
    <row r="203" spans="2:22" s="241" customFormat="1">
      <c r="B203" s="252"/>
      <c r="P203" s="253"/>
      <c r="S203" s="254"/>
      <c r="T203" s="254"/>
      <c r="U203" s="254"/>
      <c r="V203" s="254"/>
    </row>
    <row r="204" spans="2:22" s="241" customFormat="1">
      <c r="S204" s="254"/>
      <c r="T204" s="254"/>
      <c r="U204" s="254"/>
      <c r="V204" s="254"/>
    </row>
    <row r="205" spans="2:22" s="241" customFormat="1">
      <c r="S205" s="254"/>
      <c r="T205" s="254"/>
      <c r="U205" s="254"/>
      <c r="V205" s="254"/>
    </row>
    <row r="206" spans="2:22" s="241" customFormat="1">
      <c r="B206" s="252"/>
      <c r="P206" s="253"/>
      <c r="S206" s="254"/>
      <c r="T206" s="254"/>
      <c r="U206" s="254"/>
      <c r="V206" s="254"/>
    </row>
    <row r="207" spans="2:22" s="241" customFormat="1">
      <c r="S207" s="254"/>
      <c r="T207" s="254"/>
      <c r="U207" s="254"/>
      <c r="V207" s="254"/>
    </row>
    <row r="208" spans="2:22" s="241" customFormat="1">
      <c r="S208" s="254"/>
      <c r="T208" s="254"/>
      <c r="U208" s="254"/>
      <c r="V208" s="254"/>
    </row>
    <row r="209" spans="2:22" s="241" customFormat="1">
      <c r="B209" s="252"/>
      <c r="P209" s="253"/>
      <c r="S209" s="254"/>
      <c r="T209" s="254"/>
      <c r="U209" s="254"/>
      <c r="V209" s="254"/>
    </row>
    <row r="210" spans="2:22" s="241" customFormat="1">
      <c r="S210" s="254"/>
      <c r="T210" s="254"/>
      <c r="U210" s="254"/>
      <c r="V210" s="254"/>
    </row>
    <row r="211" spans="2:22" s="241" customFormat="1">
      <c r="S211" s="254"/>
      <c r="T211" s="254"/>
      <c r="U211" s="254"/>
      <c r="V211" s="254"/>
    </row>
    <row r="212" spans="2:22" s="241" customFormat="1">
      <c r="B212" s="252"/>
      <c r="P212" s="253"/>
      <c r="S212" s="254"/>
      <c r="T212" s="254"/>
      <c r="U212" s="254"/>
      <c r="V212" s="254"/>
    </row>
    <row r="213" spans="2:22" s="241" customFormat="1">
      <c r="S213" s="254"/>
      <c r="T213" s="254"/>
      <c r="U213" s="254"/>
      <c r="V213" s="254"/>
    </row>
    <row r="214" spans="2:22" s="241" customFormat="1">
      <c r="S214" s="254"/>
      <c r="T214" s="254"/>
      <c r="U214" s="254"/>
      <c r="V214" s="254"/>
    </row>
    <row r="215" spans="2:22" s="241" customFormat="1">
      <c r="B215" s="252"/>
      <c r="P215" s="253"/>
      <c r="S215" s="254"/>
      <c r="T215" s="254"/>
      <c r="U215" s="254"/>
      <c r="V215" s="254"/>
    </row>
    <row r="216" spans="2:22" s="241" customFormat="1">
      <c r="S216" s="254"/>
      <c r="T216" s="254"/>
      <c r="U216" s="254"/>
      <c r="V216" s="254"/>
    </row>
    <row r="217" spans="2:22" s="241" customFormat="1">
      <c r="S217" s="254"/>
      <c r="T217" s="254"/>
      <c r="U217" s="254"/>
      <c r="V217" s="254"/>
    </row>
    <row r="218" spans="2:22" s="241" customFormat="1">
      <c r="B218" s="252"/>
      <c r="P218" s="253"/>
      <c r="S218" s="254"/>
      <c r="T218" s="254"/>
      <c r="U218" s="254"/>
      <c r="V218" s="254"/>
    </row>
    <row r="219" spans="2:22" s="241" customFormat="1">
      <c r="S219" s="254"/>
      <c r="T219" s="254"/>
      <c r="U219" s="254"/>
      <c r="V219" s="254"/>
    </row>
    <row r="220" spans="2:22" s="241" customFormat="1">
      <c r="S220" s="254"/>
      <c r="T220" s="254"/>
      <c r="U220" s="254"/>
      <c r="V220" s="254"/>
    </row>
    <row r="221" spans="2:22" s="241" customFormat="1">
      <c r="B221" s="252"/>
      <c r="P221" s="253"/>
      <c r="S221" s="254"/>
      <c r="T221" s="254"/>
      <c r="U221" s="254"/>
      <c r="V221" s="254"/>
    </row>
    <row r="222" spans="2:22" s="241" customFormat="1">
      <c r="S222" s="254"/>
      <c r="T222" s="254"/>
      <c r="U222" s="254"/>
      <c r="V222" s="254"/>
    </row>
    <row r="223" spans="2:22" s="241" customFormat="1">
      <c r="S223" s="254"/>
      <c r="T223" s="254"/>
      <c r="U223" s="254"/>
      <c r="V223" s="254"/>
    </row>
    <row r="224" spans="2:22" s="241" customFormat="1">
      <c r="B224" s="252"/>
      <c r="P224" s="253"/>
      <c r="S224" s="254"/>
      <c r="T224" s="254"/>
      <c r="U224" s="254"/>
      <c r="V224" s="254"/>
    </row>
    <row r="225" spans="2:22" s="241" customFormat="1">
      <c r="S225" s="254"/>
      <c r="T225" s="254"/>
      <c r="U225" s="254"/>
      <c r="V225" s="254"/>
    </row>
    <row r="226" spans="2:22" s="241" customFormat="1">
      <c r="S226" s="254"/>
      <c r="T226" s="254"/>
      <c r="U226" s="254"/>
      <c r="V226" s="254"/>
    </row>
    <row r="227" spans="2:22" s="241" customFormat="1">
      <c r="B227" s="252"/>
      <c r="P227" s="253"/>
      <c r="S227" s="254"/>
      <c r="T227" s="254"/>
      <c r="U227" s="254"/>
      <c r="V227" s="254"/>
    </row>
    <row r="228" spans="2:22" s="241" customFormat="1">
      <c r="S228" s="254"/>
      <c r="T228" s="254"/>
      <c r="U228" s="254"/>
      <c r="V228" s="254"/>
    </row>
    <row r="229" spans="2:22" s="241" customFormat="1">
      <c r="S229" s="254"/>
      <c r="T229" s="254"/>
      <c r="U229" s="254"/>
      <c r="V229" s="254"/>
    </row>
    <row r="230" spans="2:22" s="241" customFormat="1">
      <c r="B230" s="252"/>
      <c r="P230" s="253"/>
      <c r="S230" s="254"/>
      <c r="T230" s="254"/>
      <c r="U230" s="254"/>
      <c r="V230" s="254"/>
    </row>
    <row r="231" spans="2:22" s="241" customFormat="1">
      <c r="S231" s="254"/>
      <c r="T231" s="254"/>
      <c r="U231" s="254"/>
      <c r="V231" s="254"/>
    </row>
    <row r="232" spans="2:22" s="241" customFormat="1">
      <c r="S232" s="254"/>
      <c r="T232" s="254"/>
      <c r="U232" s="254"/>
      <c r="V232" s="254"/>
    </row>
    <row r="233" spans="2:22" s="241" customFormat="1">
      <c r="B233" s="252"/>
      <c r="P233" s="253"/>
      <c r="S233" s="254"/>
      <c r="T233" s="254"/>
      <c r="U233" s="254"/>
      <c r="V233" s="254"/>
    </row>
    <row r="234" spans="2:22" s="241" customFormat="1">
      <c r="S234" s="254"/>
      <c r="T234" s="254"/>
      <c r="U234" s="254"/>
      <c r="V234" s="254"/>
    </row>
    <row r="235" spans="2:22" s="241" customFormat="1">
      <c r="S235" s="254"/>
      <c r="T235" s="254"/>
      <c r="U235" s="254"/>
      <c r="V235" s="254"/>
    </row>
    <row r="236" spans="2:22" s="241" customFormat="1">
      <c r="B236" s="252"/>
      <c r="P236" s="253"/>
      <c r="S236" s="254"/>
      <c r="T236" s="254"/>
      <c r="U236" s="254"/>
      <c r="V236" s="254"/>
    </row>
    <row r="237" spans="2:22" s="241" customFormat="1">
      <c r="S237" s="254"/>
      <c r="T237" s="254"/>
      <c r="U237" s="254"/>
      <c r="V237" s="254"/>
    </row>
    <row r="238" spans="2:22" s="241" customFormat="1">
      <c r="S238" s="254"/>
      <c r="T238" s="254"/>
      <c r="U238" s="254"/>
      <c r="V238" s="254"/>
    </row>
    <row r="239" spans="2:22" s="241" customFormat="1">
      <c r="B239" s="252"/>
      <c r="P239" s="253"/>
      <c r="S239" s="254"/>
      <c r="T239" s="254"/>
      <c r="U239" s="254"/>
      <c r="V239" s="254"/>
    </row>
    <row r="240" spans="2:22" s="241" customFormat="1">
      <c r="S240" s="254"/>
      <c r="T240" s="254"/>
      <c r="U240" s="254"/>
      <c r="V240" s="254"/>
    </row>
    <row r="241" spans="2:22" s="241" customFormat="1">
      <c r="S241" s="254"/>
      <c r="T241" s="254"/>
      <c r="U241" s="254"/>
      <c r="V241" s="254"/>
    </row>
    <row r="242" spans="2:22" s="241" customFormat="1">
      <c r="B242" s="252"/>
      <c r="P242" s="253"/>
      <c r="S242" s="254"/>
      <c r="T242" s="254"/>
      <c r="U242" s="254"/>
      <c r="V242" s="254"/>
    </row>
    <row r="243" spans="2:22" s="241" customFormat="1">
      <c r="S243" s="254"/>
      <c r="T243" s="254"/>
      <c r="U243" s="254"/>
      <c r="V243" s="254"/>
    </row>
    <row r="244" spans="2:22" s="241" customFormat="1">
      <c r="S244" s="254"/>
      <c r="T244" s="254"/>
      <c r="U244" s="254"/>
      <c r="V244" s="254"/>
    </row>
    <row r="245" spans="2:22" s="241" customFormat="1">
      <c r="B245" s="252"/>
      <c r="P245" s="253"/>
      <c r="S245" s="254"/>
      <c r="T245" s="254"/>
      <c r="U245" s="254"/>
      <c r="V245" s="254"/>
    </row>
    <row r="246" spans="2:22" s="241" customFormat="1">
      <c r="S246" s="254"/>
      <c r="T246" s="254"/>
      <c r="U246" s="254"/>
      <c r="V246" s="254"/>
    </row>
    <row r="247" spans="2:22" s="241" customFormat="1">
      <c r="S247" s="254"/>
      <c r="T247" s="254"/>
      <c r="U247" s="254"/>
      <c r="V247" s="254"/>
    </row>
    <row r="248" spans="2:22" s="241" customFormat="1">
      <c r="B248" s="252"/>
      <c r="P248" s="253"/>
      <c r="S248" s="254"/>
      <c r="T248" s="254"/>
      <c r="U248" s="254"/>
      <c r="V248" s="254"/>
    </row>
    <row r="249" spans="2:22" s="241" customFormat="1">
      <c r="S249" s="254"/>
      <c r="T249" s="254"/>
      <c r="U249" s="254"/>
      <c r="V249" s="254"/>
    </row>
    <row r="250" spans="2:22" s="241" customFormat="1">
      <c r="S250" s="254"/>
      <c r="T250" s="254"/>
      <c r="U250" s="254"/>
      <c r="V250" s="254"/>
    </row>
    <row r="251" spans="2:22" s="241" customFormat="1">
      <c r="B251" s="252"/>
      <c r="P251" s="253"/>
      <c r="S251" s="254"/>
      <c r="T251" s="254"/>
      <c r="U251" s="254"/>
      <c r="V251" s="254"/>
    </row>
    <row r="252" spans="2:22" s="241" customFormat="1">
      <c r="S252" s="254"/>
      <c r="T252" s="254"/>
      <c r="U252" s="254"/>
      <c r="V252" s="254"/>
    </row>
    <row r="253" spans="2:22" s="241" customFormat="1">
      <c r="S253" s="254"/>
      <c r="T253" s="254"/>
      <c r="U253" s="254"/>
      <c r="V253" s="254"/>
    </row>
    <row r="254" spans="2:22" s="241" customFormat="1">
      <c r="B254" s="252"/>
      <c r="P254" s="253"/>
      <c r="S254" s="254"/>
      <c r="T254" s="254"/>
      <c r="U254" s="254"/>
      <c r="V254" s="254"/>
    </row>
    <row r="255" spans="2:22" s="241" customFormat="1">
      <c r="S255" s="254"/>
      <c r="T255" s="254"/>
      <c r="U255" s="254"/>
      <c r="V255" s="254"/>
    </row>
    <row r="256" spans="2:22" s="241" customFormat="1">
      <c r="S256" s="254"/>
      <c r="T256" s="254"/>
      <c r="U256" s="254"/>
      <c r="V256" s="254"/>
    </row>
    <row r="257" spans="2:22" s="241" customFormat="1">
      <c r="B257" s="252"/>
      <c r="P257" s="253"/>
      <c r="S257" s="254"/>
      <c r="T257" s="254"/>
      <c r="U257" s="254"/>
      <c r="V257" s="254"/>
    </row>
    <row r="258" spans="2:22" s="241" customFormat="1">
      <c r="S258" s="254"/>
      <c r="T258" s="254"/>
      <c r="U258" s="254"/>
      <c r="V258" s="254"/>
    </row>
    <row r="259" spans="2:22" s="241" customFormat="1">
      <c r="S259" s="254"/>
      <c r="T259" s="254"/>
      <c r="U259" s="254"/>
      <c r="V259" s="254"/>
    </row>
    <row r="260" spans="2:22" s="241" customFormat="1">
      <c r="B260" s="252"/>
      <c r="P260" s="253"/>
      <c r="S260" s="254"/>
      <c r="T260" s="254"/>
      <c r="U260" s="254"/>
      <c r="V260" s="254"/>
    </row>
    <row r="261" spans="2:22" s="241" customFormat="1">
      <c r="S261" s="254"/>
      <c r="T261" s="254"/>
      <c r="U261" s="254"/>
      <c r="V261" s="254"/>
    </row>
    <row r="262" spans="2:22" s="241" customFormat="1">
      <c r="S262" s="254"/>
      <c r="T262" s="254"/>
      <c r="U262" s="254"/>
      <c r="V262" s="254"/>
    </row>
    <row r="263" spans="2:22" s="241" customFormat="1">
      <c r="B263" s="252"/>
      <c r="P263" s="253"/>
      <c r="S263" s="254"/>
      <c r="T263" s="254"/>
      <c r="U263" s="254"/>
      <c r="V263" s="254"/>
    </row>
    <row r="264" spans="2:22" s="241" customFormat="1">
      <c r="S264" s="254"/>
      <c r="T264" s="254"/>
      <c r="U264" s="254"/>
      <c r="V264" s="254"/>
    </row>
    <row r="265" spans="2:22" s="241" customFormat="1">
      <c r="S265" s="254"/>
      <c r="T265" s="254"/>
      <c r="U265" s="254"/>
      <c r="V265" s="254"/>
    </row>
    <row r="266" spans="2:22" s="241" customFormat="1">
      <c r="B266" s="252"/>
      <c r="P266" s="253"/>
      <c r="S266" s="254"/>
      <c r="T266" s="254"/>
      <c r="U266" s="254"/>
      <c r="V266" s="254"/>
    </row>
    <row r="267" spans="2:22" s="241" customFormat="1">
      <c r="S267" s="254"/>
      <c r="T267" s="254"/>
      <c r="U267" s="254"/>
      <c r="V267" s="254"/>
    </row>
    <row r="268" spans="2:22" s="241" customFormat="1">
      <c r="S268" s="254"/>
      <c r="T268" s="254"/>
      <c r="U268" s="254"/>
      <c r="V268" s="254"/>
    </row>
    <row r="269" spans="2:22" s="241" customFormat="1">
      <c r="B269" s="252"/>
      <c r="P269" s="253"/>
      <c r="S269" s="254"/>
      <c r="T269" s="254"/>
      <c r="U269" s="254"/>
      <c r="V269" s="254"/>
    </row>
    <row r="270" spans="2:22" s="241" customFormat="1">
      <c r="S270" s="254"/>
      <c r="T270" s="254"/>
      <c r="U270" s="254"/>
      <c r="V270" s="254"/>
    </row>
    <row r="271" spans="2:22" s="241" customFormat="1">
      <c r="S271" s="254"/>
      <c r="T271" s="254"/>
      <c r="U271" s="254"/>
      <c r="V271" s="254"/>
    </row>
    <row r="272" spans="2:22" s="241" customFormat="1">
      <c r="B272" s="252"/>
      <c r="P272" s="253"/>
      <c r="S272" s="254"/>
      <c r="T272" s="254"/>
      <c r="U272" s="254"/>
      <c r="V272" s="254"/>
    </row>
    <row r="273" spans="2:22" s="241" customFormat="1">
      <c r="S273" s="254"/>
      <c r="T273" s="254"/>
      <c r="U273" s="254"/>
      <c r="V273" s="254"/>
    </row>
    <row r="274" spans="2:22" s="241" customFormat="1">
      <c r="S274" s="254"/>
      <c r="T274" s="254"/>
      <c r="U274" s="254"/>
      <c r="V274" s="254"/>
    </row>
    <row r="275" spans="2:22" s="241" customFormat="1">
      <c r="B275" s="252"/>
      <c r="P275" s="253"/>
      <c r="S275" s="254"/>
      <c r="T275" s="254"/>
      <c r="U275" s="254"/>
      <c r="V275" s="254"/>
    </row>
    <row r="276" spans="2:22" s="241" customFormat="1">
      <c r="S276" s="254"/>
      <c r="T276" s="254"/>
      <c r="U276" s="254"/>
      <c r="V276" s="254"/>
    </row>
    <row r="277" spans="2:22" s="241" customFormat="1">
      <c r="S277" s="254"/>
      <c r="T277" s="254"/>
      <c r="U277" s="254"/>
      <c r="V277" s="254"/>
    </row>
    <row r="278" spans="2:22" s="241" customFormat="1">
      <c r="B278" s="252"/>
      <c r="P278" s="253"/>
      <c r="S278" s="255"/>
      <c r="T278" s="254"/>
      <c r="U278" s="254"/>
      <c r="V278" s="254"/>
    </row>
    <row r="279" spans="2:22" s="241" customFormat="1">
      <c r="S279" s="254"/>
      <c r="T279" s="254"/>
      <c r="U279" s="254"/>
      <c r="V279" s="254"/>
    </row>
    <row r="280" spans="2:22" s="241" customFormat="1">
      <c r="S280" s="254"/>
      <c r="T280" s="254"/>
      <c r="U280" s="254"/>
      <c r="V280" s="254"/>
    </row>
    <row r="281" spans="2:22" s="241" customFormat="1">
      <c r="B281" s="252"/>
      <c r="P281" s="253"/>
      <c r="S281" s="254"/>
      <c r="T281" s="254"/>
      <c r="U281" s="254"/>
      <c r="V281" s="254"/>
    </row>
    <row r="282" spans="2:22" s="241" customFormat="1">
      <c r="S282" s="254"/>
      <c r="T282" s="254"/>
      <c r="U282" s="254"/>
      <c r="V282" s="254"/>
    </row>
    <row r="283" spans="2:22" s="241" customFormat="1">
      <c r="S283" s="254"/>
      <c r="T283" s="254"/>
      <c r="U283" s="254"/>
      <c r="V283" s="254"/>
    </row>
    <row r="284" spans="2:22" s="241" customFormat="1">
      <c r="B284" s="252"/>
      <c r="P284" s="253"/>
      <c r="S284" s="254"/>
      <c r="T284" s="254"/>
      <c r="U284" s="254"/>
      <c r="V284" s="254"/>
    </row>
    <row r="285" spans="2:22" s="241" customFormat="1">
      <c r="S285" s="254"/>
      <c r="T285" s="254"/>
      <c r="U285" s="254"/>
      <c r="V285" s="254"/>
    </row>
    <row r="286" spans="2:22" s="241" customFormat="1">
      <c r="S286" s="254"/>
      <c r="T286" s="254"/>
      <c r="U286" s="254"/>
      <c r="V286" s="254"/>
    </row>
    <row r="287" spans="2:22" s="241" customFormat="1">
      <c r="B287" s="252"/>
      <c r="P287" s="253"/>
      <c r="S287" s="254"/>
      <c r="T287" s="254"/>
      <c r="U287" s="254"/>
      <c r="V287" s="254"/>
    </row>
    <row r="288" spans="2:22" s="241" customFormat="1">
      <c r="S288" s="254"/>
      <c r="T288" s="254"/>
      <c r="U288" s="254"/>
      <c r="V288" s="254"/>
    </row>
    <row r="289" spans="2:22" s="241" customFormat="1">
      <c r="S289" s="254"/>
      <c r="T289" s="254"/>
      <c r="U289" s="254"/>
      <c r="V289" s="254"/>
    </row>
    <row r="290" spans="2:22" s="241" customFormat="1">
      <c r="B290" s="252"/>
      <c r="P290" s="253"/>
      <c r="S290" s="254"/>
      <c r="T290" s="254"/>
      <c r="U290" s="254"/>
      <c r="V290" s="254"/>
    </row>
    <row r="291" spans="2:22" s="241" customFormat="1">
      <c r="S291" s="254"/>
      <c r="T291" s="254"/>
      <c r="U291" s="254"/>
      <c r="V291" s="254"/>
    </row>
    <row r="292" spans="2:22" s="241" customFormat="1">
      <c r="S292" s="254"/>
      <c r="T292" s="254"/>
      <c r="U292" s="254"/>
      <c r="V292" s="254"/>
    </row>
    <row r="293" spans="2:22" s="241" customFormat="1">
      <c r="B293" s="252"/>
      <c r="P293" s="253"/>
      <c r="S293" s="254"/>
      <c r="T293" s="254"/>
      <c r="U293" s="254"/>
      <c r="V293" s="254"/>
    </row>
    <row r="294" spans="2:22" s="241" customFormat="1">
      <c r="S294" s="254"/>
      <c r="T294" s="254"/>
      <c r="U294" s="254"/>
      <c r="V294" s="254"/>
    </row>
    <row r="295" spans="2:22" s="241" customFormat="1">
      <c r="S295" s="254"/>
      <c r="T295" s="254"/>
      <c r="U295" s="254"/>
      <c r="V295" s="254"/>
    </row>
    <row r="296" spans="2:22" s="241" customFormat="1">
      <c r="B296" s="252"/>
      <c r="P296" s="253"/>
      <c r="S296" s="255"/>
      <c r="T296" s="254"/>
      <c r="U296" s="254"/>
      <c r="V296" s="254"/>
    </row>
    <row r="297" spans="2:22" s="241" customFormat="1">
      <c r="S297" s="254"/>
      <c r="T297" s="254"/>
      <c r="U297" s="254"/>
      <c r="V297" s="254"/>
    </row>
    <row r="298" spans="2:22" s="241" customFormat="1">
      <c r="S298" s="254"/>
      <c r="T298" s="254"/>
      <c r="U298" s="254"/>
      <c r="V298" s="254"/>
    </row>
    <row r="299" spans="2:22" s="241" customFormat="1">
      <c r="B299" s="252"/>
      <c r="P299" s="253"/>
      <c r="S299" s="254"/>
      <c r="T299" s="254"/>
      <c r="U299" s="254"/>
      <c r="V299" s="254"/>
    </row>
    <row r="300" spans="2:22" s="241" customFormat="1">
      <c r="S300" s="254"/>
      <c r="T300" s="254"/>
      <c r="U300" s="254"/>
      <c r="V300" s="254"/>
    </row>
    <row r="301" spans="2:22" s="241" customFormat="1">
      <c r="S301" s="254"/>
      <c r="T301" s="254"/>
      <c r="U301" s="254"/>
      <c r="V301" s="254"/>
    </row>
    <row r="302" spans="2:22" s="241" customFormat="1">
      <c r="B302" s="252"/>
      <c r="P302" s="253"/>
      <c r="S302" s="254"/>
      <c r="T302" s="254"/>
      <c r="U302" s="254"/>
      <c r="V302" s="254"/>
    </row>
    <row r="303" spans="2:22" s="241" customFormat="1">
      <c r="S303" s="254"/>
      <c r="T303" s="254"/>
      <c r="U303" s="254"/>
      <c r="V303" s="254"/>
    </row>
    <row r="304" spans="2:22" s="241" customFormat="1">
      <c r="S304" s="254"/>
      <c r="T304" s="254"/>
      <c r="U304" s="254"/>
      <c r="V304" s="254"/>
    </row>
    <row r="305" spans="2:22" s="241" customFormat="1">
      <c r="B305" s="252"/>
      <c r="P305" s="253"/>
      <c r="S305" s="254"/>
      <c r="T305" s="254"/>
      <c r="U305" s="254"/>
      <c r="V305" s="254"/>
    </row>
    <row r="306" spans="2:22" s="241" customFormat="1">
      <c r="S306" s="254"/>
      <c r="T306" s="254"/>
      <c r="U306" s="254"/>
      <c r="V306" s="254"/>
    </row>
    <row r="307" spans="2:22" s="241" customFormat="1">
      <c r="S307" s="254"/>
      <c r="T307" s="254"/>
      <c r="U307" s="254"/>
      <c r="V307" s="254"/>
    </row>
    <row r="308" spans="2:22" s="241" customFormat="1">
      <c r="B308" s="252"/>
      <c r="P308" s="253"/>
      <c r="S308" s="254"/>
      <c r="T308" s="254"/>
      <c r="U308" s="254"/>
      <c r="V308" s="254"/>
    </row>
    <row r="309" spans="2:22" s="241" customFormat="1">
      <c r="S309" s="254"/>
      <c r="T309" s="254"/>
      <c r="U309" s="254"/>
      <c r="V309" s="254"/>
    </row>
    <row r="310" spans="2:22" s="241" customFormat="1">
      <c r="S310" s="254"/>
      <c r="T310" s="254"/>
      <c r="U310" s="254"/>
      <c r="V310" s="254"/>
    </row>
    <row r="311" spans="2:22" s="241" customFormat="1">
      <c r="B311" s="252"/>
      <c r="P311" s="253"/>
      <c r="S311" s="254"/>
      <c r="T311" s="254"/>
      <c r="U311" s="254"/>
      <c r="V311" s="254"/>
    </row>
    <row r="312" spans="2:22" s="241" customFormat="1">
      <c r="S312" s="254"/>
      <c r="T312" s="254"/>
      <c r="U312" s="254"/>
      <c r="V312" s="254"/>
    </row>
    <row r="313" spans="2:22" s="241" customFormat="1">
      <c r="S313" s="254"/>
      <c r="T313" s="254"/>
      <c r="U313" s="254"/>
      <c r="V313" s="254"/>
    </row>
    <row r="314" spans="2:22" s="241" customFormat="1">
      <c r="B314" s="252"/>
      <c r="P314" s="253"/>
      <c r="S314" s="254"/>
      <c r="T314" s="254"/>
      <c r="U314" s="254"/>
      <c r="V314" s="254"/>
    </row>
    <row r="315" spans="2:22" s="241" customFormat="1">
      <c r="S315" s="254"/>
      <c r="T315" s="254"/>
      <c r="U315" s="254"/>
      <c r="V315" s="254"/>
    </row>
    <row r="316" spans="2:22" s="241" customFormat="1">
      <c r="S316" s="254"/>
      <c r="T316" s="254"/>
      <c r="U316" s="254"/>
      <c r="V316" s="254"/>
    </row>
    <row r="317" spans="2:22" s="241" customFormat="1">
      <c r="B317" s="252"/>
      <c r="P317" s="253"/>
      <c r="S317" s="254"/>
      <c r="T317" s="254"/>
      <c r="U317" s="254"/>
      <c r="V317" s="254"/>
    </row>
    <row r="318" spans="2:22" s="241" customFormat="1">
      <c r="S318" s="254"/>
      <c r="T318" s="254"/>
      <c r="U318" s="254"/>
      <c r="V318" s="254"/>
    </row>
    <row r="319" spans="2:22" s="241" customFormat="1">
      <c r="S319" s="254"/>
      <c r="T319" s="254"/>
      <c r="U319" s="254"/>
      <c r="V319" s="254"/>
    </row>
    <row r="320" spans="2:22" s="241" customFormat="1">
      <c r="B320" s="252"/>
      <c r="P320" s="253"/>
      <c r="S320" s="254"/>
      <c r="T320" s="254"/>
      <c r="U320" s="254"/>
      <c r="V320" s="254"/>
    </row>
    <row r="321" spans="2:22" s="241" customFormat="1">
      <c r="S321" s="254"/>
      <c r="T321" s="254"/>
      <c r="U321" s="254"/>
      <c r="V321" s="254"/>
    </row>
    <row r="322" spans="2:22" s="241" customFormat="1">
      <c r="S322" s="254"/>
      <c r="T322" s="254"/>
      <c r="U322" s="254"/>
      <c r="V322" s="254"/>
    </row>
    <row r="323" spans="2:22" s="241" customFormat="1">
      <c r="B323" s="252"/>
      <c r="P323" s="253"/>
      <c r="S323" s="254"/>
      <c r="T323" s="254"/>
      <c r="U323" s="254"/>
      <c r="V323" s="254"/>
    </row>
    <row r="324" spans="2:22" s="241" customFormat="1">
      <c r="S324" s="254"/>
      <c r="T324" s="254"/>
      <c r="U324" s="254"/>
      <c r="V324" s="254"/>
    </row>
    <row r="325" spans="2:22" s="241" customFormat="1">
      <c r="S325" s="254"/>
      <c r="T325" s="254"/>
      <c r="U325" s="254"/>
      <c r="V325" s="254"/>
    </row>
    <row r="326" spans="2:22" s="241" customFormat="1">
      <c r="B326" s="252"/>
      <c r="P326" s="253"/>
      <c r="S326" s="254"/>
      <c r="T326" s="254"/>
      <c r="U326" s="254"/>
      <c r="V326" s="254"/>
    </row>
    <row r="327" spans="2:22" s="241" customFormat="1">
      <c r="S327" s="254"/>
      <c r="T327" s="254"/>
      <c r="U327" s="254"/>
      <c r="V327" s="254"/>
    </row>
    <row r="328" spans="2:22" s="241" customFormat="1">
      <c r="S328" s="254"/>
      <c r="T328" s="254"/>
      <c r="U328" s="254"/>
      <c r="V328" s="254"/>
    </row>
    <row r="329" spans="2:22" s="241" customFormat="1">
      <c r="B329" s="252"/>
      <c r="P329" s="253"/>
      <c r="S329" s="254"/>
      <c r="T329" s="254"/>
      <c r="U329" s="254"/>
      <c r="V329" s="254"/>
    </row>
    <row r="330" spans="2:22" s="241" customFormat="1">
      <c r="S330" s="254"/>
      <c r="T330" s="254"/>
      <c r="U330" s="254"/>
      <c r="V330" s="254"/>
    </row>
    <row r="331" spans="2:22" s="241" customFormat="1">
      <c r="S331" s="254"/>
      <c r="T331" s="254"/>
      <c r="U331" s="254"/>
      <c r="V331" s="254"/>
    </row>
    <row r="332" spans="2:22" s="241" customFormat="1">
      <c r="B332" s="252"/>
      <c r="P332" s="253"/>
      <c r="S332" s="254"/>
      <c r="T332" s="254"/>
      <c r="U332" s="254"/>
      <c r="V332" s="254"/>
    </row>
    <row r="333" spans="2:22" s="241" customFormat="1">
      <c r="S333" s="254"/>
      <c r="T333" s="254"/>
      <c r="U333" s="254"/>
      <c r="V333" s="254"/>
    </row>
    <row r="334" spans="2:22" s="241" customFormat="1">
      <c r="S334" s="254"/>
      <c r="T334" s="254"/>
      <c r="U334" s="254"/>
      <c r="V334" s="254"/>
    </row>
    <row r="335" spans="2:22" s="241" customFormat="1">
      <c r="B335" s="252"/>
      <c r="P335" s="253"/>
      <c r="S335" s="254"/>
      <c r="T335" s="254"/>
      <c r="U335" s="254"/>
      <c r="V335" s="254"/>
    </row>
    <row r="336" spans="2:22" s="241" customFormat="1">
      <c r="S336" s="254"/>
      <c r="T336" s="254"/>
      <c r="U336" s="254"/>
      <c r="V336" s="254"/>
    </row>
    <row r="337" spans="2:22" s="241" customFormat="1">
      <c r="S337" s="254"/>
      <c r="T337" s="254"/>
      <c r="U337" s="254"/>
      <c r="V337" s="254"/>
    </row>
    <row r="338" spans="2:22" s="241" customFormat="1">
      <c r="B338" s="252"/>
      <c r="P338" s="253"/>
      <c r="S338" s="254"/>
      <c r="T338" s="254"/>
      <c r="U338" s="254"/>
      <c r="V338" s="254"/>
    </row>
    <row r="339" spans="2:22" s="241" customFormat="1">
      <c r="S339" s="254"/>
      <c r="T339" s="254"/>
      <c r="U339" s="254"/>
      <c r="V339" s="254"/>
    </row>
    <row r="340" spans="2:22" s="241" customFormat="1">
      <c r="S340" s="254"/>
      <c r="T340" s="254"/>
      <c r="U340" s="254"/>
      <c r="V340" s="254"/>
    </row>
    <row r="341" spans="2:22" s="241" customFormat="1">
      <c r="B341" s="252"/>
      <c r="P341" s="253"/>
      <c r="S341" s="254"/>
      <c r="T341" s="254"/>
      <c r="U341" s="254"/>
      <c r="V341" s="254"/>
    </row>
    <row r="342" spans="2:22" s="241" customFormat="1">
      <c r="S342" s="254"/>
      <c r="T342" s="254"/>
      <c r="U342" s="254"/>
      <c r="V342" s="254"/>
    </row>
    <row r="343" spans="2:22" s="241" customFormat="1">
      <c r="S343" s="254"/>
      <c r="T343" s="254"/>
      <c r="U343" s="254"/>
      <c r="V343" s="254"/>
    </row>
    <row r="344" spans="2:22" s="241" customFormat="1">
      <c r="B344" s="252"/>
      <c r="P344" s="253"/>
      <c r="S344" s="254"/>
      <c r="T344" s="254"/>
      <c r="U344" s="254"/>
      <c r="V344" s="254"/>
    </row>
    <row r="345" spans="2:22" s="241" customFormat="1">
      <c r="S345" s="254"/>
      <c r="T345" s="254"/>
      <c r="U345" s="254"/>
      <c r="V345" s="254"/>
    </row>
    <row r="346" spans="2:22" s="241" customFormat="1">
      <c r="S346" s="254"/>
      <c r="T346" s="254"/>
      <c r="U346" s="254"/>
      <c r="V346" s="254"/>
    </row>
    <row r="347" spans="2:22" s="241" customFormat="1">
      <c r="B347" s="252"/>
      <c r="P347" s="253"/>
      <c r="S347" s="254"/>
      <c r="T347" s="254"/>
      <c r="U347" s="254"/>
      <c r="V347" s="254"/>
    </row>
    <row r="348" spans="2:22" s="241" customFormat="1">
      <c r="S348" s="254"/>
      <c r="T348" s="254"/>
      <c r="U348" s="254"/>
      <c r="V348" s="254"/>
    </row>
    <row r="349" spans="2:22" s="241" customFormat="1">
      <c r="S349" s="254"/>
      <c r="T349" s="254"/>
      <c r="U349" s="254"/>
      <c r="V349" s="254"/>
    </row>
    <row r="350" spans="2:22" s="241" customFormat="1">
      <c r="B350" s="252"/>
      <c r="P350" s="253"/>
      <c r="S350" s="254"/>
      <c r="T350" s="254"/>
      <c r="U350" s="254"/>
      <c r="V350" s="254"/>
    </row>
    <row r="351" spans="2:22" s="241" customFormat="1">
      <c r="S351" s="254"/>
      <c r="T351" s="254"/>
      <c r="U351" s="254"/>
      <c r="V351" s="254"/>
    </row>
    <row r="352" spans="2:22" s="241" customFormat="1">
      <c r="S352" s="254"/>
      <c r="T352" s="254"/>
      <c r="U352" s="254"/>
      <c r="V352" s="254"/>
    </row>
    <row r="353" spans="2:22" s="241" customFormat="1">
      <c r="B353" s="252"/>
      <c r="P353" s="253"/>
      <c r="S353" s="254"/>
      <c r="T353" s="254"/>
      <c r="U353" s="254"/>
      <c r="V353" s="254"/>
    </row>
    <row r="354" spans="2:22" s="241" customFormat="1">
      <c r="S354" s="254"/>
      <c r="T354" s="254"/>
      <c r="U354" s="254"/>
      <c r="V354" s="254"/>
    </row>
    <row r="355" spans="2:22" s="241" customFormat="1">
      <c r="S355" s="254"/>
      <c r="T355" s="254"/>
      <c r="U355" s="254"/>
      <c r="V355" s="254"/>
    </row>
    <row r="356" spans="2:22" s="241" customFormat="1">
      <c r="B356" s="252"/>
      <c r="P356" s="253"/>
      <c r="S356" s="254"/>
      <c r="T356" s="254"/>
      <c r="U356" s="254"/>
      <c r="V356" s="254"/>
    </row>
    <row r="357" spans="2:22" s="241" customFormat="1">
      <c r="S357" s="254"/>
      <c r="T357" s="254"/>
      <c r="U357" s="254"/>
      <c r="V357" s="254"/>
    </row>
    <row r="358" spans="2:22" s="241" customFormat="1">
      <c r="S358" s="254"/>
      <c r="T358" s="254"/>
      <c r="U358" s="254"/>
      <c r="V358" s="254"/>
    </row>
    <row r="359" spans="2:22" s="241" customFormat="1">
      <c r="B359" s="252"/>
      <c r="P359" s="253"/>
      <c r="S359" s="254"/>
      <c r="T359" s="254"/>
      <c r="U359" s="254"/>
      <c r="V359" s="254"/>
    </row>
    <row r="360" spans="2:22" s="241" customFormat="1">
      <c r="S360" s="254"/>
      <c r="T360" s="254"/>
      <c r="U360" s="254"/>
      <c r="V360" s="254"/>
    </row>
    <row r="361" spans="2:22" s="241" customFormat="1">
      <c r="S361" s="254"/>
      <c r="T361" s="254"/>
      <c r="U361" s="254"/>
      <c r="V361" s="254"/>
    </row>
    <row r="362" spans="2:22" s="241" customFormat="1">
      <c r="B362" s="252"/>
      <c r="P362" s="253"/>
      <c r="S362" s="254"/>
      <c r="T362" s="254"/>
      <c r="U362" s="254"/>
      <c r="V362" s="254"/>
    </row>
    <row r="363" spans="2:22" s="241" customFormat="1">
      <c r="S363" s="254"/>
      <c r="T363" s="254"/>
      <c r="U363" s="254"/>
      <c r="V363" s="254"/>
    </row>
    <row r="364" spans="2:22" s="241" customFormat="1">
      <c r="S364" s="254"/>
      <c r="T364" s="254"/>
      <c r="U364" s="254"/>
      <c r="V364" s="254"/>
    </row>
    <row r="365" spans="2:22" s="241" customFormat="1">
      <c r="B365" s="252"/>
      <c r="P365" s="253"/>
      <c r="S365" s="254"/>
      <c r="T365" s="254"/>
      <c r="U365" s="254"/>
      <c r="V365" s="254"/>
    </row>
    <row r="366" spans="2:22" s="241" customFormat="1">
      <c r="S366" s="254"/>
      <c r="T366" s="254"/>
      <c r="U366" s="254"/>
      <c r="V366" s="254"/>
    </row>
    <row r="367" spans="2:22" s="241" customFormat="1">
      <c r="S367" s="254"/>
      <c r="T367" s="254"/>
      <c r="U367" s="254"/>
      <c r="V367" s="254"/>
    </row>
    <row r="368" spans="2:22" s="241" customFormat="1">
      <c r="B368" s="252"/>
      <c r="P368" s="253"/>
      <c r="S368" s="254"/>
      <c r="T368" s="254"/>
      <c r="U368" s="254"/>
      <c r="V368" s="254"/>
    </row>
    <row r="369" spans="2:22" s="241" customFormat="1">
      <c r="S369" s="254"/>
      <c r="T369" s="254"/>
      <c r="U369" s="254"/>
      <c r="V369" s="254"/>
    </row>
    <row r="370" spans="2:22" s="241" customFormat="1">
      <c r="S370" s="254"/>
      <c r="T370" s="254"/>
      <c r="U370" s="254"/>
      <c r="V370" s="254"/>
    </row>
    <row r="371" spans="2:22" s="241" customFormat="1">
      <c r="B371" s="252"/>
      <c r="P371" s="253"/>
      <c r="S371" s="254"/>
      <c r="T371" s="254"/>
      <c r="U371" s="254"/>
      <c r="V371" s="254"/>
    </row>
    <row r="372" spans="2:22" s="241" customFormat="1">
      <c r="S372" s="254"/>
      <c r="T372" s="254"/>
      <c r="U372" s="254"/>
      <c r="V372" s="254"/>
    </row>
    <row r="373" spans="2:22" s="241" customFormat="1">
      <c r="S373" s="254"/>
      <c r="T373" s="254"/>
      <c r="U373" s="254"/>
      <c r="V373" s="254"/>
    </row>
    <row r="374" spans="2:22" s="241" customFormat="1">
      <c r="B374" s="252"/>
      <c r="P374" s="253"/>
      <c r="S374" s="254"/>
      <c r="T374" s="254"/>
      <c r="U374" s="254"/>
      <c r="V374" s="254"/>
    </row>
    <row r="375" spans="2:22" s="241" customFormat="1">
      <c r="S375" s="254"/>
      <c r="T375" s="254"/>
      <c r="U375" s="254"/>
      <c r="V375" s="254"/>
    </row>
    <row r="376" spans="2:22" s="241" customFormat="1">
      <c r="S376" s="254"/>
      <c r="T376" s="254"/>
      <c r="U376" s="254"/>
      <c r="V376" s="254"/>
    </row>
    <row r="377" spans="2:22" s="241" customFormat="1">
      <c r="B377" s="252"/>
      <c r="P377" s="253"/>
      <c r="S377" s="254"/>
      <c r="T377" s="254"/>
      <c r="U377" s="254"/>
      <c r="V377" s="254"/>
    </row>
    <row r="378" spans="2:22" s="241" customFormat="1">
      <c r="S378" s="254"/>
      <c r="T378" s="254"/>
      <c r="U378" s="254"/>
      <c r="V378" s="254"/>
    </row>
    <row r="379" spans="2:22" s="241" customFormat="1">
      <c r="S379" s="254"/>
      <c r="T379" s="254"/>
      <c r="U379" s="254"/>
      <c r="V379" s="254"/>
    </row>
    <row r="380" spans="2:22" s="241" customFormat="1">
      <c r="B380" s="252"/>
      <c r="P380" s="253"/>
      <c r="S380" s="254"/>
      <c r="T380" s="254"/>
      <c r="U380" s="254"/>
      <c r="V380" s="254"/>
    </row>
    <row r="381" spans="2:22" s="241" customFormat="1">
      <c r="S381" s="254"/>
      <c r="T381" s="254"/>
      <c r="U381" s="254"/>
      <c r="V381" s="254"/>
    </row>
    <row r="382" spans="2:22" s="241" customFormat="1">
      <c r="S382" s="254"/>
      <c r="T382" s="254"/>
      <c r="U382" s="254"/>
      <c r="V382" s="254"/>
    </row>
    <row r="383" spans="2:22" s="241" customFormat="1">
      <c r="B383" s="252"/>
      <c r="P383" s="253"/>
      <c r="S383" s="254"/>
      <c r="T383" s="254"/>
      <c r="U383" s="254"/>
      <c r="V383" s="254"/>
    </row>
    <row r="384" spans="2:22" s="241" customFormat="1">
      <c r="S384" s="254"/>
      <c r="T384" s="254"/>
      <c r="U384" s="254"/>
      <c r="V384" s="254"/>
    </row>
    <row r="385" spans="2:22" s="241" customFormat="1">
      <c r="S385" s="254"/>
      <c r="T385" s="254"/>
      <c r="U385" s="254"/>
      <c r="V385" s="254"/>
    </row>
    <row r="386" spans="2:22" s="241" customFormat="1">
      <c r="B386" s="252"/>
      <c r="P386" s="253"/>
      <c r="S386" s="254"/>
      <c r="T386" s="254"/>
      <c r="U386" s="254"/>
      <c r="V386" s="254"/>
    </row>
    <row r="387" spans="2:22" s="241" customFormat="1">
      <c r="S387" s="254"/>
      <c r="T387" s="254"/>
      <c r="U387" s="254"/>
      <c r="V387" s="254"/>
    </row>
    <row r="388" spans="2:22" s="241" customFormat="1">
      <c r="S388" s="254"/>
      <c r="T388" s="254"/>
      <c r="U388" s="254"/>
      <c r="V388" s="254"/>
    </row>
    <row r="389" spans="2:22" s="241" customFormat="1">
      <c r="B389" s="252"/>
      <c r="P389" s="253"/>
      <c r="S389" s="254"/>
      <c r="T389" s="254"/>
      <c r="U389" s="254"/>
      <c r="V389" s="254"/>
    </row>
    <row r="390" spans="2:22" s="241" customFormat="1">
      <c r="S390" s="254"/>
      <c r="T390" s="254"/>
      <c r="U390" s="254"/>
      <c r="V390" s="254"/>
    </row>
    <row r="391" spans="2:22" s="241" customFormat="1">
      <c r="S391" s="254"/>
      <c r="T391" s="254"/>
      <c r="U391" s="254"/>
      <c r="V391" s="254"/>
    </row>
    <row r="392" spans="2:22" s="241" customFormat="1">
      <c r="B392" s="252"/>
      <c r="P392" s="253"/>
      <c r="S392" s="254"/>
      <c r="T392" s="254"/>
      <c r="U392" s="254"/>
      <c r="V392" s="254"/>
    </row>
    <row r="393" spans="2:22" s="241" customFormat="1">
      <c r="S393" s="254"/>
      <c r="T393" s="254"/>
      <c r="U393" s="254"/>
      <c r="V393" s="254"/>
    </row>
    <row r="394" spans="2:22" s="241" customFormat="1">
      <c r="S394" s="254"/>
      <c r="T394" s="254"/>
      <c r="U394" s="254"/>
      <c r="V394" s="254"/>
    </row>
    <row r="395" spans="2:22" s="241" customFormat="1">
      <c r="B395" s="252"/>
      <c r="P395" s="253"/>
      <c r="S395" s="254"/>
      <c r="T395" s="254"/>
      <c r="U395" s="254"/>
      <c r="V395" s="254"/>
    </row>
    <row r="396" spans="2:22" s="241" customFormat="1">
      <c r="S396" s="254"/>
      <c r="T396" s="254"/>
      <c r="U396" s="254"/>
      <c r="V396" s="254"/>
    </row>
    <row r="397" spans="2:22" s="241" customFormat="1">
      <c r="S397" s="254"/>
      <c r="T397" s="254"/>
      <c r="U397" s="254"/>
      <c r="V397" s="254"/>
    </row>
    <row r="398" spans="2:22" s="241" customFormat="1">
      <c r="B398" s="252"/>
      <c r="P398" s="253"/>
      <c r="S398" s="254"/>
      <c r="T398" s="254"/>
      <c r="U398" s="254"/>
      <c r="V398" s="254"/>
    </row>
    <row r="399" spans="2:22" s="241" customFormat="1">
      <c r="S399" s="254"/>
      <c r="T399" s="254"/>
      <c r="U399" s="254"/>
      <c r="V399" s="254"/>
    </row>
    <row r="400" spans="2:22" s="241" customFormat="1">
      <c r="S400" s="254"/>
      <c r="T400" s="254"/>
      <c r="U400" s="254"/>
      <c r="V400" s="254"/>
    </row>
    <row r="401" spans="2:22" s="241" customFormat="1">
      <c r="B401" s="252"/>
      <c r="P401" s="253"/>
      <c r="S401" s="254"/>
      <c r="T401" s="254"/>
      <c r="U401" s="254"/>
      <c r="V401" s="254"/>
    </row>
    <row r="402" spans="2:22" s="241" customFormat="1">
      <c r="S402" s="254"/>
      <c r="T402" s="254"/>
      <c r="U402" s="254"/>
      <c r="V402" s="254"/>
    </row>
    <row r="403" spans="2:22" s="241" customFormat="1">
      <c r="S403" s="254"/>
      <c r="T403" s="254"/>
      <c r="U403" s="254"/>
      <c r="V403" s="254"/>
    </row>
    <row r="404" spans="2:22" s="241" customFormat="1">
      <c r="B404" s="252"/>
      <c r="P404" s="253"/>
      <c r="S404" s="254"/>
      <c r="T404" s="254"/>
      <c r="U404" s="254"/>
      <c r="V404" s="254"/>
    </row>
    <row r="405" spans="2:22" s="241" customFormat="1">
      <c r="S405" s="254"/>
      <c r="T405" s="254"/>
      <c r="U405" s="254"/>
      <c r="V405" s="254"/>
    </row>
    <row r="406" spans="2:22" s="241" customFormat="1">
      <c r="S406" s="254"/>
      <c r="T406" s="254"/>
      <c r="U406" s="254"/>
      <c r="V406" s="254"/>
    </row>
    <row r="407" spans="2:22" s="241" customFormat="1">
      <c r="B407" s="252"/>
      <c r="P407" s="253"/>
      <c r="S407" s="254"/>
      <c r="T407" s="254"/>
      <c r="U407" s="254"/>
      <c r="V407" s="254"/>
    </row>
    <row r="408" spans="2:22" s="241" customFormat="1">
      <c r="S408" s="254"/>
      <c r="T408" s="254"/>
      <c r="U408" s="254"/>
      <c r="V408" s="254"/>
    </row>
    <row r="409" spans="2:22" s="241" customFormat="1">
      <c r="S409" s="254"/>
      <c r="T409" s="254"/>
      <c r="U409" s="254"/>
      <c r="V409" s="254"/>
    </row>
    <row r="410" spans="2:22" s="241" customFormat="1">
      <c r="B410" s="252"/>
      <c r="P410" s="253"/>
      <c r="S410" s="254"/>
      <c r="T410" s="254"/>
      <c r="U410" s="254"/>
      <c r="V410" s="254"/>
    </row>
    <row r="411" spans="2:22" s="241" customFormat="1">
      <c r="S411" s="254"/>
      <c r="T411" s="254"/>
      <c r="U411" s="254"/>
      <c r="V411" s="254"/>
    </row>
    <row r="412" spans="2:22" s="241" customFormat="1">
      <c r="S412" s="254"/>
      <c r="T412" s="254"/>
      <c r="U412" s="254"/>
      <c r="V412" s="254"/>
    </row>
    <row r="413" spans="2:22" s="241" customFormat="1">
      <c r="B413" s="252"/>
      <c r="P413" s="253"/>
      <c r="S413" s="254"/>
      <c r="T413" s="254"/>
      <c r="U413" s="254"/>
      <c r="V413" s="254"/>
    </row>
    <row r="414" spans="2:22" s="241" customFormat="1">
      <c r="S414" s="254"/>
      <c r="T414" s="254"/>
      <c r="U414" s="254"/>
      <c r="V414" s="254"/>
    </row>
    <row r="415" spans="2:22" s="241" customFormat="1">
      <c r="S415" s="254"/>
      <c r="T415" s="254"/>
      <c r="U415" s="254"/>
      <c r="V415" s="254"/>
    </row>
    <row r="416" spans="2:22" s="241" customFormat="1">
      <c r="B416" s="252"/>
      <c r="P416" s="253"/>
      <c r="S416" s="254"/>
      <c r="T416" s="254"/>
      <c r="U416" s="254"/>
      <c r="V416" s="254"/>
    </row>
    <row r="417" spans="2:22" s="241" customFormat="1">
      <c r="S417" s="254"/>
      <c r="T417" s="254"/>
      <c r="U417" s="254"/>
      <c r="V417" s="254"/>
    </row>
    <row r="418" spans="2:22" s="241" customFormat="1">
      <c r="S418" s="254"/>
      <c r="T418" s="254"/>
      <c r="U418" s="254"/>
      <c r="V418" s="254"/>
    </row>
    <row r="419" spans="2:22" s="241" customFormat="1">
      <c r="B419" s="252"/>
      <c r="P419" s="253"/>
      <c r="S419" s="254"/>
      <c r="T419" s="254"/>
      <c r="U419" s="254"/>
      <c r="V419" s="254"/>
    </row>
    <row r="420" spans="2:22" s="241" customFormat="1">
      <c r="S420" s="254"/>
      <c r="T420" s="254"/>
      <c r="U420" s="254"/>
      <c r="V420" s="254"/>
    </row>
    <row r="421" spans="2:22" s="241" customFormat="1">
      <c r="S421" s="254"/>
      <c r="T421" s="254"/>
      <c r="U421" s="254"/>
      <c r="V421" s="254"/>
    </row>
    <row r="422" spans="2:22" s="241" customFormat="1">
      <c r="B422" s="252"/>
      <c r="P422" s="253"/>
      <c r="S422" s="254"/>
      <c r="T422" s="254"/>
      <c r="U422" s="254"/>
      <c r="V422" s="254"/>
    </row>
    <row r="423" spans="2:22" s="241" customFormat="1">
      <c r="S423" s="254"/>
      <c r="T423" s="254"/>
      <c r="U423" s="254"/>
      <c r="V423" s="254"/>
    </row>
    <row r="424" spans="2:22" s="241" customFormat="1">
      <c r="S424" s="254"/>
      <c r="T424" s="254"/>
      <c r="U424" s="254"/>
      <c r="V424" s="254"/>
    </row>
    <row r="425" spans="2:22" s="241" customFormat="1">
      <c r="B425" s="252"/>
      <c r="P425" s="253"/>
      <c r="S425" s="254"/>
      <c r="T425" s="254"/>
      <c r="U425" s="254"/>
      <c r="V425" s="254"/>
    </row>
    <row r="426" spans="2:22" s="241" customFormat="1">
      <c r="S426" s="254"/>
      <c r="T426" s="254"/>
      <c r="U426" s="254"/>
      <c r="V426" s="254"/>
    </row>
    <row r="427" spans="2:22" s="241" customFormat="1">
      <c r="S427" s="254"/>
      <c r="T427" s="254"/>
      <c r="U427" s="254"/>
      <c r="V427" s="254"/>
    </row>
    <row r="428" spans="2:22" s="241" customFormat="1">
      <c r="B428" s="252"/>
      <c r="P428" s="253"/>
      <c r="S428" s="254"/>
      <c r="T428" s="254"/>
      <c r="U428" s="254"/>
      <c r="V428" s="254"/>
    </row>
    <row r="429" spans="2:22" s="241" customFormat="1">
      <c r="S429" s="254"/>
      <c r="T429" s="254"/>
      <c r="U429" s="254"/>
      <c r="V429" s="254"/>
    </row>
    <row r="430" spans="2:22" s="241" customFormat="1">
      <c r="S430" s="254"/>
      <c r="T430" s="254"/>
      <c r="U430" s="254"/>
      <c r="V430" s="254"/>
    </row>
    <row r="431" spans="2:22" s="241" customFormat="1">
      <c r="B431" s="252"/>
      <c r="P431" s="253"/>
      <c r="S431" s="254"/>
      <c r="T431" s="254"/>
      <c r="U431" s="254"/>
      <c r="V431" s="254"/>
    </row>
    <row r="432" spans="2:22" s="241" customFormat="1">
      <c r="S432" s="254"/>
      <c r="T432" s="254"/>
      <c r="U432" s="254"/>
      <c r="V432" s="254"/>
    </row>
    <row r="433" spans="2:22" s="241" customFormat="1">
      <c r="S433" s="254"/>
      <c r="T433" s="254"/>
      <c r="U433" s="254"/>
      <c r="V433" s="254"/>
    </row>
    <row r="434" spans="2:22" s="241" customFormat="1">
      <c r="B434" s="252"/>
      <c r="P434" s="253"/>
      <c r="S434" s="254"/>
      <c r="T434" s="254"/>
      <c r="U434" s="254"/>
      <c r="V434" s="254"/>
    </row>
    <row r="435" spans="2:22" s="241" customFormat="1">
      <c r="S435" s="254"/>
      <c r="T435" s="254"/>
      <c r="U435" s="254"/>
      <c r="V435" s="254"/>
    </row>
    <row r="436" spans="2:22" s="241" customFormat="1">
      <c r="S436" s="254"/>
      <c r="T436" s="254"/>
      <c r="U436" s="254"/>
      <c r="V436" s="254"/>
    </row>
    <row r="437" spans="2:22" s="241" customFormat="1">
      <c r="B437" s="252"/>
      <c r="P437" s="253"/>
      <c r="S437" s="254"/>
      <c r="T437" s="254"/>
      <c r="U437" s="254"/>
      <c r="V437" s="254"/>
    </row>
    <row r="438" spans="2:22" s="241" customFormat="1">
      <c r="S438" s="254"/>
      <c r="T438" s="254"/>
      <c r="U438" s="254"/>
      <c r="V438" s="254"/>
    </row>
    <row r="439" spans="2:22" s="241" customFormat="1">
      <c r="S439" s="254"/>
      <c r="T439" s="254"/>
      <c r="U439" s="254"/>
      <c r="V439" s="254"/>
    </row>
    <row r="440" spans="2:22" s="241" customFormat="1">
      <c r="B440" s="252"/>
      <c r="P440" s="253"/>
      <c r="S440" s="254"/>
      <c r="T440" s="254"/>
      <c r="U440" s="254"/>
      <c r="V440" s="254"/>
    </row>
    <row r="441" spans="2:22" s="241" customFormat="1">
      <c r="S441" s="254"/>
      <c r="T441" s="254"/>
      <c r="U441" s="254"/>
      <c r="V441" s="254"/>
    </row>
    <row r="442" spans="2:22" s="241" customFormat="1">
      <c r="S442" s="254"/>
      <c r="T442" s="254"/>
      <c r="U442" s="254"/>
      <c r="V442" s="254"/>
    </row>
    <row r="443" spans="2:22" s="241" customFormat="1">
      <c r="B443" s="252"/>
      <c r="P443" s="253"/>
      <c r="S443" s="254"/>
      <c r="T443" s="254"/>
      <c r="U443" s="254"/>
      <c r="V443" s="254"/>
    </row>
    <row r="444" spans="2:22" s="241" customFormat="1">
      <c r="S444" s="254"/>
      <c r="T444" s="254"/>
      <c r="U444" s="254"/>
      <c r="V444" s="254"/>
    </row>
    <row r="445" spans="2:22" s="241" customFormat="1">
      <c r="S445" s="254"/>
      <c r="T445" s="254"/>
      <c r="U445" s="254"/>
      <c r="V445" s="254"/>
    </row>
    <row r="446" spans="2:22" s="241" customFormat="1">
      <c r="B446" s="252"/>
      <c r="P446" s="253"/>
      <c r="S446" s="254"/>
      <c r="T446" s="254"/>
      <c r="U446" s="254"/>
      <c r="V446" s="254"/>
    </row>
    <row r="447" spans="2:22" s="241" customFormat="1">
      <c r="S447" s="254"/>
      <c r="T447" s="254"/>
      <c r="U447" s="254"/>
      <c r="V447" s="254"/>
    </row>
    <row r="448" spans="2:22" s="241" customFormat="1">
      <c r="S448" s="254"/>
      <c r="T448" s="254"/>
      <c r="U448" s="254"/>
      <c r="V448" s="254"/>
    </row>
    <row r="449" spans="2:22" s="241" customFormat="1">
      <c r="B449" s="252"/>
      <c r="P449" s="253"/>
      <c r="S449" s="254"/>
      <c r="T449" s="254"/>
      <c r="U449" s="254"/>
      <c r="V449" s="254"/>
    </row>
    <row r="450" spans="2:22" s="241" customFormat="1">
      <c r="S450" s="254"/>
      <c r="T450" s="254"/>
      <c r="U450" s="254"/>
      <c r="V450" s="254"/>
    </row>
    <row r="451" spans="2:22" s="241" customFormat="1">
      <c r="S451" s="254"/>
      <c r="T451" s="254"/>
      <c r="U451" s="254"/>
      <c r="V451" s="254"/>
    </row>
    <row r="452" spans="2:22" s="241" customFormat="1">
      <c r="B452" s="252"/>
      <c r="P452" s="253"/>
      <c r="S452" s="254"/>
      <c r="T452" s="254"/>
      <c r="U452" s="254"/>
      <c r="V452" s="254"/>
    </row>
    <row r="453" spans="2:22" s="241" customFormat="1">
      <c r="S453" s="254"/>
      <c r="T453" s="254"/>
      <c r="U453" s="254"/>
      <c r="V453" s="254"/>
    </row>
    <row r="454" spans="2:22" s="241" customFormat="1">
      <c r="S454" s="254"/>
      <c r="T454" s="254"/>
      <c r="U454" s="254"/>
      <c r="V454" s="254"/>
    </row>
    <row r="455" spans="2:22" s="241" customFormat="1">
      <c r="B455" s="252"/>
      <c r="P455" s="253"/>
      <c r="S455" s="254"/>
      <c r="T455" s="254"/>
      <c r="U455" s="254"/>
      <c r="V455" s="254"/>
    </row>
    <row r="456" spans="2:22" s="241" customFormat="1">
      <c r="S456" s="254"/>
      <c r="T456" s="254"/>
      <c r="U456" s="254"/>
      <c r="V456" s="254"/>
    </row>
    <row r="457" spans="2:22" s="241" customFormat="1">
      <c r="S457" s="254"/>
      <c r="T457" s="254"/>
      <c r="U457" s="254"/>
      <c r="V457" s="254"/>
    </row>
    <row r="458" spans="2:22" s="241" customFormat="1">
      <c r="B458" s="252"/>
      <c r="P458" s="253"/>
      <c r="S458" s="254"/>
      <c r="T458" s="254"/>
      <c r="U458" s="254"/>
      <c r="V458" s="254"/>
    </row>
    <row r="459" spans="2:22" s="241" customFormat="1">
      <c r="S459" s="254"/>
      <c r="T459" s="254"/>
      <c r="U459" s="254"/>
      <c r="V459" s="254"/>
    </row>
    <row r="460" spans="2:22" s="241" customFormat="1">
      <c r="S460" s="254"/>
      <c r="T460" s="254"/>
      <c r="U460" s="254"/>
      <c r="V460" s="254"/>
    </row>
    <row r="461" spans="2:22" s="241" customFormat="1">
      <c r="B461" s="252"/>
      <c r="P461" s="253"/>
      <c r="S461" s="254"/>
      <c r="T461" s="254"/>
      <c r="U461" s="254"/>
      <c r="V461" s="254"/>
    </row>
    <row r="462" spans="2:22" s="241" customFormat="1">
      <c r="S462" s="254"/>
      <c r="T462" s="254"/>
      <c r="U462" s="254"/>
      <c r="V462" s="254"/>
    </row>
    <row r="463" spans="2:22" s="241" customFormat="1">
      <c r="S463" s="254"/>
      <c r="T463" s="254"/>
      <c r="U463" s="254"/>
      <c r="V463" s="254"/>
    </row>
    <row r="464" spans="2:22" s="241" customFormat="1">
      <c r="B464" s="252"/>
      <c r="P464" s="253"/>
      <c r="S464" s="254"/>
      <c r="T464" s="254"/>
      <c r="U464" s="254"/>
      <c r="V464" s="254"/>
    </row>
    <row r="465" spans="2:22" s="241" customFormat="1">
      <c r="S465" s="254"/>
      <c r="T465" s="254"/>
      <c r="U465" s="254"/>
      <c r="V465" s="254"/>
    </row>
    <row r="466" spans="2:22" s="241" customFormat="1">
      <c r="S466" s="254"/>
      <c r="T466" s="254"/>
      <c r="U466" s="254"/>
      <c r="V466" s="254"/>
    </row>
    <row r="467" spans="2:22" s="241" customFormat="1">
      <c r="B467" s="252"/>
      <c r="P467" s="253"/>
      <c r="S467" s="254"/>
      <c r="T467" s="254"/>
      <c r="U467" s="254"/>
      <c r="V467" s="254"/>
    </row>
    <row r="468" spans="2:22" s="241" customFormat="1">
      <c r="S468" s="254"/>
      <c r="T468" s="254"/>
      <c r="U468" s="254"/>
      <c r="V468" s="254"/>
    </row>
    <row r="469" spans="2:22" s="241" customFormat="1">
      <c r="S469" s="254"/>
      <c r="T469" s="254"/>
      <c r="U469" s="254"/>
      <c r="V469" s="254"/>
    </row>
    <row r="470" spans="2:22" s="241" customFormat="1">
      <c r="B470" s="252"/>
      <c r="P470" s="253"/>
      <c r="S470" s="254"/>
      <c r="T470" s="254"/>
      <c r="U470" s="254"/>
      <c r="V470" s="254"/>
    </row>
    <row r="471" spans="2:22" s="241" customFormat="1">
      <c r="S471" s="254"/>
      <c r="T471" s="254"/>
      <c r="U471" s="254"/>
      <c r="V471" s="254"/>
    </row>
    <row r="472" spans="2:22" s="241" customFormat="1">
      <c r="S472" s="254"/>
      <c r="T472" s="254"/>
      <c r="U472" s="254"/>
      <c r="V472" s="254"/>
    </row>
    <row r="473" spans="2:22" s="241" customFormat="1">
      <c r="B473" s="252"/>
      <c r="P473" s="253"/>
      <c r="S473" s="254"/>
      <c r="T473" s="254"/>
      <c r="U473" s="254"/>
      <c r="V473" s="254"/>
    </row>
    <row r="474" spans="2:22" s="241" customFormat="1">
      <c r="S474" s="254"/>
      <c r="T474" s="254"/>
      <c r="U474" s="254"/>
      <c r="V474" s="254"/>
    </row>
    <row r="475" spans="2:22" s="241" customFormat="1">
      <c r="S475" s="254"/>
      <c r="T475" s="254"/>
      <c r="U475" s="254"/>
      <c r="V475" s="254"/>
    </row>
    <row r="476" spans="2:22" s="241" customFormat="1">
      <c r="B476" s="252"/>
      <c r="P476" s="253"/>
      <c r="S476" s="254"/>
      <c r="T476" s="254"/>
      <c r="U476" s="254"/>
      <c r="V476" s="254"/>
    </row>
    <row r="477" spans="2:22" s="241" customFormat="1">
      <c r="S477" s="254"/>
      <c r="T477" s="254"/>
      <c r="U477" s="254"/>
      <c r="V477" s="254"/>
    </row>
    <row r="478" spans="2:22" s="241" customFormat="1">
      <c r="S478" s="254"/>
      <c r="T478" s="254"/>
      <c r="U478" s="254"/>
      <c r="V478" s="254"/>
    </row>
    <row r="479" spans="2:22" s="241" customFormat="1">
      <c r="B479" s="252"/>
      <c r="P479" s="253"/>
      <c r="S479" s="254"/>
      <c r="T479" s="254"/>
      <c r="U479" s="254"/>
      <c r="V479" s="254"/>
    </row>
    <row r="480" spans="2:22" s="241" customFormat="1">
      <c r="S480" s="254"/>
      <c r="T480" s="254"/>
      <c r="U480" s="254"/>
      <c r="V480" s="254"/>
    </row>
    <row r="481" spans="2:22" s="241" customFormat="1">
      <c r="S481" s="254"/>
      <c r="T481" s="254"/>
      <c r="U481" s="254"/>
      <c r="V481" s="254"/>
    </row>
    <row r="482" spans="2:22" s="241" customFormat="1">
      <c r="B482" s="252"/>
      <c r="P482" s="253"/>
      <c r="S482" s="254"/>
      <c r="T482" s="254"/>
      <c r="U482" s="254"/>
      <c r="V482" s="254"/>
    </row>
    <row r="483" spans="2:22" s="241" customFormat="1">
      <c r="S483" s="254"/>
      <c r="T483" s="254"/>
      <c r="U483" s="254"/>
      <c r="V483" s="254"/>
    </row>
    <row r="484" spans="2:22" s="241" customFormat="1">
      <c r="S484" s="254"/>
      <c r="T484" s="254"/>
      <c r="U484" s="254"/>
      <c r="V484" s="254"/>
    </row>
    <row r="485" spans="2:22" s="241" customFormat="1">
      <c r="B485" s="252"/>
      <c r="P485" s="253"/>
      <c r="S485" s="254"/>
      <c r="T485" s="254"/>
      <c r="U485" s="254"/>
      <c r="V485" s="254"/>
    </row>
    <row r="486" spans="2:22" s="241" customFormat="1">
      <c r="S486" s="254"/>
      <c r="T486" s="254"/>
      <c r="U486" s="254"/>
      <c r="V486" s="254"/>
    </row>
    <row r="487" spans="2:22" s="241" customFormat="1">
      <c r="S487" s="254"/>
      <c r="T487" s="254"/>
      <c r="U487" s="254"/>
      <c r="V487" s="254"/>
    </row>
    <row r="488" spans="2:22" s="241" customFormat="1">
      <c r="B488" s="252"/>
      <c r="P488" s="253"/>
      <c r="S488" s="254"/>
      <c r="T488" s="254"/>
      <c r="U488" s="254"/>
      <c r="V488" s="254"/>
    </row>
    <row r="489" spans="2:22" s="241" customFormat="1">
      <c r="S489" s="254"/>
      <c r="T489" s="254"/>
      <c r="U489" s="254"/>
      <c r="V489" s="254"/>
    </row>
    <row r="490" spans="2:22" s="241" customFormat="1">
      <c r="S490" s="254"/>
      <c r="T490" s="254"/>
      <c r="U490" s="254"/>
      <c r="V490" s="254"/>
    </row>
    <row r="491" spans="2:22" s="241" customFormat="1">
      <c r="B491" s="252"/>
      <c r="P491" s="253"/>
      <c r="S491" s="254"/>
      <c r="T491" s="254"/>
      <c r="U491" s="254"/>
      <c r="V491" s="254"/>
    </row>
    <row r="492" spans="2:22" s="241" customFormat="1">
      <c r="S492" s="254"/>
      <c r="T492" s="254"/>
      <c r="U492" s="254"/>
      <c r="V492" s="254"/>
    </row>
    <row r="493" spans="2:22" s="241" customFormat="1">
      <c r="S493" s="254"/>
      <c r="T493" s="254"/>
      <c r="U493" s="254"/>
      <c r="V493" s="254"/>
    </row>
    <row r="494" spans="2:22" s="241" customFormat="1">
      <c r="B494" s="252"/>
      <c r="P494" s="253"/>
      <c r="S494" s="254"/>
      <c r="T494" s="254"/>
      <c r="U494" s="254"/>
      <c r="V494" s="254"/>
    </row>
    <row r="495" spans="2:22" s="241" customFormat="1">
      <c r="S495" s="254"/>
      <c r="T495" s="254"/>
      <c r="U495" s="254"/>
      <c r="V495" s="254"/>
    </row>
    <row r="496" spans="2:22" s="241" customFormat="1">
      <c r="S496" s="254"/>
      <c r="T496" s="254"/>
      <c r="U496" s="254"/>
      <c r="V496" s="254"/>
    </row>
    <row r="497" spans="2:22" s="241" customFormat="1">
      <c r="B497" s="252"/>
      <c r="P497" s="253"/>
      <c r="S497" s="254"/>
      <c r="T497" s="254"/>
      <c r="U497" s="254"/>
      <c r="V497" s="254"/>
    </row>
    <row r="498" spans="2:22" s="241" customFormat="1">
      <c r="S498" s="254"/>
      <c r="T498" s="254"/>
      <c r="U498" s="254"/>
      <c r="V498" s="254"/>
    </row>
    <row r="499" spans="2:22" s="241" customFormat="1">
      <c r="S499" s="254"/>
      <c r="T499" s="254"/>
      <c r="U499" s="254"/>
      <c r="V499" s="254"/>
    </row>
    <row r="500" spans="2:22" s="241" customFormat="1">
      <c r="B500" s="252"/>
      <c r="P500" s="253"/>
      <c r="S500" s="254"/>
      <c r="T500" s="254"/>
      <c r="U500" s="254"/>
      <c r="V500" s="254"/>
    </row>
    <row r="501" spans="2:22" s="241" customFormat="1">
      <c r="S501" s="254"/>
      <c r="T501" s="254"/>
      <c r="U501" s="254"/>
      <c r="V501" s="254"/>
    </row>
    <row r="502" spans="2:22" s="241" customFormat="1">
      <c r="S502" s="254"/>
      <c r="T502" s="254"/>
      <c r="U502" s="254"/>
      <c r="V502" s="254"/>
    </row>
    <row r="503" spans="2:22" s="241" customFormat="1">
      <c r="B503" s="252"/>
      <c r="P503" s="253"/>
      <c r="S503" s="254"/>
      <c r="T503" s="254"/>
      <c r="U503" s="254"/>
      <c r="V503" s="254"/>
    </row>
    <row r="504" spans="2:22" s="241" customFormat="1">
      <c r="S504" s="254"/>
      <c r="T504" s="254"/>
      <c r="U504" s="254"/>
      <c r="V504" s="254"/>
    </row>
    <row r="505" spans="2:22" s="241" customFormat="1">
      <c r="S505" s="254"/>
      <c r="T505" s="254"/>
      <c r="U505" s="254"/>
      <c r="V505" s="254"/>
    </row>
    <row r="506" spans="2:22" s="241" customFormat="1">
      <c r="B506" s="252"/>
      <c r="P506" s="253"/>
      <c r="S506" s="254"/>
      <c r="T506" s="254"/>
      <c r="U506" s="254"/>
      <c r="V506" s="254"/>
    </row>
    <row r="507" spans="2:22" s="241" customFormat="1">
      <c r="S507" s="254"/>
      <c r="T507" s="254"/>
      <c r="U507" s="254"/>
      <c r="V507" s="254"/>
    </row>
    <row r="508" spans="2:22" s="241" customFormat="1">
      <c r="S508" s="254"/>
      <c r="T508" s="254"/>
      <c r="U508" s="254"/>
      <c r="V508" s="254"/>
    </row>
    <row r="509" spans="2:22" s="241" customFormat="1">
      <c r="B509" s="252"/>
      <c r="P509" s="253"/>
      <c r="S509" s="254"/>
      <c r="T509" s="254"/>
      <c r="U509" s="254"/>
      <c r="V509" s="254"/>
    </row>
    <row r="510" spans="2:22" s="241" customFormat="1">
      <c r="S510" s="254"/>
      <c r="T510" s="254"/>
      <c r="U510" s="254"/>
      <c r="V510" s="254"/>
    </row>
    <row r="511" spans="2:22" s="241" customFormat="1">
      <c r="S511" s="254"/>
      <c r="T511" s="254"/>
      <c r="U511" s="254"/>
      <c r="V511" s="254"/>
    </row>
    <row r="512" spans="2:22" s="241" customFormat="1">
      <c r="B512" s="252"/>
      <c r="P512" s="253"/>
      <c r="S512" s="254"/>
      <c r="T512" s="254"/>
      <c r="U512" s="254"/>
      <c r="V512" s="254"/>
    </row>
    <row r="513" spans="2:22" s="241" customFormat="1">
      <c r="S513" s="254"/>
      <c r="T513" s="254"/>
      <c r="U513" s="254"/>
      <c r="V513" s="254"/>
    </row>
    <row r="514" spans="2:22" s="241" customFormat="1">
      <c r="S514" s="254"/>
      <c r="T514" s="254"/>
      <c r="U514" s="254"/>
      <c r="V514" s="254"/>
    </row>
    <row r="515" spans="2:22" s="241" customFormat="1">
      <c r="B515" s="252"/>
      <c r="P515" s="253"/>
      <c r="S515" s="254"/>
      <c r="T515" s="254"/>
      <c r="U515" s="254"/>
      <c r="V515" s="254"/>
    </row>
    <row r="516" spans="2:22" s="241" customFormat="1">
      <c r="S516" s="254"/>
      <c r="T516" s="254"/>
      <c r="U516" s="254"/>
      <c r="V516" s="254"/>
    </row>
    <row r="517" spans="2:22" s="241" customFormat="1">
      <c r="S517" s="254"/>
      <c r="T517" s="254"/>
      <c r="U517" s="254"/>
      <c r="V517" s="254"/>
    </row>
    <row r="518" spans="2:22" s="241" customFormat="1">
      <c r="B518" s="252"/>
      <c r="P518" s="253"/>
      <c r="S518" s="254"/>
      <c r="T518" s="254"/>
      <c r="U518" s="254"/>
      <c r="V518" s="254"/>
    </row>
    <row r="519" spans="2:22" s="241" customFormat="1">
      <c r="S519" s="254"/>
      <c r="T519" s="254"/>
      <c r="U519" s="254"/>
      <c r="V519" s="254"/>
    </row>
    <row r="520" spans="2:22" s="241" customFormat="1">
      <c r="S520" s="254"/>
      <c r="T520" s="254"/>
      <c r="U520" s="254"/>
      <c r="V520" s="254"/>
    </row>
    <row r="521" spans="2:22" s="241" customFormat="1">
      <c r="B521" s="252"/>
      <c r="P521" s="253"/>
      <c r="S521" s="254"/>
      <c r="T521" s="254"/>
      <c r="U521" s="254"/>
      <c r="V521" s="254"/>
    </row>
    <row r="522" spans="2:22" s="241" customFormat="1">
      <c r="S522" s="254"/>
      <c r="T522" s="254"/>
      <c r="U522" s="254"/>
      <c r="V522" s="254"/>
    </row>
    <row r="523" spans="2:22" s="241" customFormat="1">
      <c r="S523" s="254"/>
      <c r="T523" s="254"/>
      <c r="U523" s="254"/>
      <c r="V523" s="254"/>
    </row>
    <row r="524" spans="2:22" s="241" customFormat="1">
      <c r="B524" s="252"/>
      <c r="P524" s="253"/>
      <c r="S524" s="254"/>
      <c r="T524" s="254"/>
      <c r="U524" s="254"/>
      <c r="V524" s="254"/>
    </row>
    <row r="525" spans="2:22" s="241" customFormat="1">
      <c r="S525" s="254"/>
      <c r="T525" s="254"/>
      <c r="U525" s="254"/>
      <c r="V525" s="254"/>
    </row>
    <row r="526" spans="2:22" s="241" customFormat="1">
      <c r="S526" s="254"/>
      <c r="T526" s="254"/>
      <c r="U526" s="254"/>
      <c r="V526" s="254"/>
    </row>
    <row r="527" spans="2:22" s="241" customFormat="1">
      <c r="B527" s="252"/>
      <c r="P527" s="253"/>
      <c r="S527" s="254"/>
      <c r="T527" s="254"/>
      <c r="U527" s="254"/>
      <c r="V527" s="254"/>
    </row>
    <row r="528" spans="2:22" s="241" customFormat="1">
      <c r="S528" s="254"/>
      <c r="T528" s="254"/>
      <c r="U528" s="254"/>
      <c r="V528" s="254"/>
    </row>
    <row r="529" spans="2:22" s="241" customFormat="1">
      <c r="S529" s="254"/>
      <c r="T529" s="254"/>
      <c r="U529" s="254"/>
      <c r="V529" s="254"/>
    </row>
    <row r="530" spans="2:22" s="241" customFormat="1">
      <c r="B530" s="252"/>
      <c r="P530" s="253"/>
      <c r="S530" s="254"/>
      <c r="T530" s="254"/>
      <c r="U530" s="254"/>
      <c r="V530" s="254"/>
    </row>
    <row r="531" spans="2:22" s="241" customFormat="1">
      <c r="S531" s="254"/>
      <c r="T531" s="254"/>
      <c r="U531" s="254"/>
      <c r="V531" s="254"/>
    </row>
    <row r="532" spans="2:22" s="241" customFormat="1">
      <c r="S532" s="254"/>
      <c r="T532" s="254"/>
      <c r="U532" s="254"/>
      <c r="V532" s="254"/>
    </row>
    <row r="533" spans="2:22" s="241" customFormat="1">
      <c r="B533" s="252"/>
      <c r="P533" s="253"/>
      <c r="S533" s="254"/>
      <c r="T533" s="254"/>
      <c r="U533" s="254"/>
      <c r="V533" s="254"/>
    </row>
    <row r="534" spans="2:22" s="241" customFormat="1">
      <c r="S534" s="254"/>
      <c r="T534" s="254"/>
      <c r="U534" s="254"/>
      <c r="V534" s="254"/>
    </row>
    <row r="535" spans="2:22" s="241" customFormat="1">
      <c r="S535" s="254"/>
      <c r="T535" s="254"/>
      <c r="U535" s="254"/>
      <c r="V535" s="254"/>
    </row>
    <row r="536" spans="2:22" s="241" customFormat="1">
      <c r="B536" s="252"/>
      <c r="P536" s="253"/>
      <c r="S536" s="254"/>
      <c r="T536" s="254"/>
      <c r="U536" s="254"/>
      <c r="V536" s="254"/>
    </row>
    <row r="537" spans="2:22" s="241" customFormat="1">
      <c r="S537" s="254"/>
      <c r="T537" s="254"/>
      <c r="U537" s="254"/>
      <c r="V537" s="254"/>
    </row>
    <row r="538" spans="2:22" s="241" customFormat="1">
      <c r="S538" s="254"/>
      <c r="T538" s="254"/>
      <c r="U538" s="254"/>
      <c r="V538" s="254"/>
    </row>
    <row r="539" spans="2:22" s="241" customFormat="1">
      <c r="B539" s="252"/>
      <c r="P539" s="253"/>
      <c r="S539" s="254"/>
      <c r="T539" s="254"/>
      <c r="U539" s="254"/>
      <c r="V539" s="254"/>
    </row>
    <row r="540" spans="2:22" s="241" customFormat="1">
      <c r="S540" s="254"/>
      <c r="T540" s="254"/>
      <c r="U540" s="254"/>
      <c r="V540" s="254"/>
    </row>
    <row r="541" spans="2:22" s="241" customFormat="1">
      <c r="S541" s="254"/>
      <c r="T541" s="254"/>
      <c r="U541" s="254"/>
      <c r="V541" s="254"/>
    </row>
    <row r="542" spans="2:22" s="241" customFormat="1">
      <c r="B542" s="252"/>
      <c r="P542" s="253"/>
      <c r="S542" s="254"/>
      <c r="T542" s="254"/>
      <c r="U542" s="254"/>
      <c r="V542" s="254"/>
    </row>
    <row r="543" spans="2:22" s="241" customFormat="1">
      <c r="S543" s="254"/>
      <c r="T543" s="254"/>
      <c r="U543" s="254"/>
      <c r="V543" s="254"/>
    </row>
    <row r="544" spans="2:22" s="241" customFormat="1">
      <c r="S544" s="254"/>
      <c r="T544" s="254"/>
      <c r="U544" s="254"/>
      <c r="V544" s="254"/>
    </row>
    <row r="545" spans="2:22" s="241" customFormat="1">
      <c r="B545" s="252"/>
      <c r="P545" s="253"/>
      <c r="S545" s="254"/>
      <c r="T545" s="254"/>
      <c r="U545" s="254"/>
      <c r="V545" s="254"/>
    </row>
    <row r="546" spans="2:22" s="241" customFormat="1">
      <c r="S546" s="254"/>
      <c r="T546" s="254"/>
      <c r="U546" s="254"/>
      <c r="V546" s="254"/>
    </row>
    <row r="547" spans="2:22" s="241" customFormat="1">
      <c r="S547" s="254"/>
      <c r="T547" s="254"/>
      <c r="U547" s="254"/>
      <c r="V547" s="254"/>
    </row>
    <row r="548" spans="2:22" s="241" customFormat="1">
      <c r="B548" s="252"/>
      <c r="P548" s="253"/>
      <c r="S548" s="254"/>
      <c r="T548" s="254"/>
      <c r="U548" s="254"/>
      <c r="V548" s="254"/>
    </row>
    <row r="549" spans="2:22" s="241" customFormat="1">
      <c r="S549" s="254"/>
      <c r="T549" s="254"/>
      <c r="U549" s="254"/>
      <c r="V549" s="254"/>
    </row>
    <row r="550" spans="2:22" s="241" customFormat="1">
      <c r="S550" s="254"/>
      <c r="T550" s="254"/>
      <c r="U550" s="254"/>
      <c r="V550" s="254"/>
    </row>
    <row r="551" spans="2:22" s="241" customFormat="1">
      <c r="B551" s="252"/>
      <c r="P551" s="253"/>
      <c r="S551" s="254"/>
      <c r="T551" s="254"/>
      <c r="U551" s="254"/>
      <c r="V551" s="254"/>
    </row>
    <row r="552" spans="2:22" s="241" customFormat="1">
      <c r="S552" s="254"/>
      <c r="T552" s="254"/>
      <c r="U552" s="254"/>
      <c r="V552" s="254"/>
    </row>
    <row r="553" spans="2:22" s="241" customFormat="1">
      <c r="S553" s="254"/>
      <c r="T553" s="254"/>
      <c r="U553" s="254"/>
      <c r="V553" s="254"/>
    </row>
    <row r="554" spans="2:22" s="241" customFormat="1">
      <c r="B554" s="252"/>
      <c r="P554" s="253"/>
      <c r="S554" s="254"/>
      <c r="T554" s="254"/>
      <c r="U554" s="254"/>
      <c r="V554" s="254"/>
    </row>
    <row r="555" spans="2:22" s="241" customFormat="1">
      <c r="S555" s="254"/>
      <c r="T555" s="254"/>
      <c r="U555" s="254"/>
      <c r="V555" s="254"/>
    </row>
    <row r="556" spans="2:22" s="241" customFormat="1">
      <c r="S556" s="254"/>
      <c r="T556" s="254"/>
      <c r="U556" s="254"/>
      <c r="V556" s="254"/>
    </row>
    <row r="557" spans="2:22" s="241" customFormat="1">
      <c r="B557" s="252"/>
      <c r="P557" s="253"/>
      <c r="S557" s="254"/>
      <c r="T557" s="254"/>
      <c r="U557" s="254"/>
      <c r="V557" s="254"/>
    </row>
    <row r="558" spans="2:22" s="241" customFormat="1">
      <c r="S558" s="254"/>
      <c r="T558" s="254"/>
      <c r="U558" s="254"/>
      <c r="V558" s="254"/>
    </row>
    <row r="559" spans="2:22" s="241" customFormat="1">
      <c r="S559" s="254"/>
      <c r="T559" s="254"/>
      <c r="U559" s="254"/>
      <c r="V559" s="254"/>
    </row>
    <row r="560" spans="2:22" s="241" customFormat="1">
      <c r="B560" s="252"/>
      <c r="P560" s="253"/>
      <c r="S560" s="254"/>
      <c r="T560" s="254"/>
      <c r="U560" s="254"/>
      <c r="V560" s="254"/>
    </row>
    <row r="561" spans="2:22" s="241" customFormat="1">
      <c r="S561" s="254"/>
      <c r="T561" s="254"/>
      <c r="U561" s="254"/>
      <c r="V561" s="254"/>
    </row>
    <row r="562" spans="2:22" s="241" customFormat="1">
      <c r="S562" s="254"/>
      <c r="T562" s="254"/>
      <c r="U562" s="254"/>
      <c r="V562" s="254"/>
    </row>
    <row r="563" spans="2:22" s="241" customFormat="1">
      <c r="B563" s="252"/>
      <c r="P563" s="253"/>
      <c r="S563" s="254"/>
      <c r="T563" s="254"/>
      <c r="U563" s="254"/>
      <c r="V563" s="254"/>
    </row>
    <row r="564" spans="2:22" s="241" customFormat="1">
      <c r="S564" s="254"/>
      <c r="T564" s="254"/>
      <c r="U564" s="254"/>
      <c r="V564" s="254"/>
    </row>
    <row r="565" spans="2:22" s="241" customFormat="1">
      <c r="S565" s="254"/>
      <c r="T565" s="254"/>
      <c r="U565" s="254"/>
      <c r="V565" s="254"/>
    </row>
    <row r="566" spans="2:22" s="241" customFormat="1">
      <c r="B566" s="252"/>
      <c r="P566" s="253"/>
      <c r="S566" s="254"/>
      <c r="T566" s="254"/>
      <c r="U566" s="254"/>
      <c r="V566" s="254"/>
    </row>
    <row r="567" spans="2:22" s="241" customFormat="1">
      <c r="S567" s="254"/>
      <c r="T567" s="254"/>
      <c r="U567" s="254"/>
      <c r="V567" s="254"/>
    </row>
    <row r="568" spans="2:22" s="241" customFormat="1">
      <c r="S568" s="254"/>
      <c r="T568" s="254"/>
      <c r="U568" s="254"/>
      <c r="V568" s="254"/>
    </row>
    <row r="569" spans="2:22" s="241" customFormat="1">
      <c r="B569" s="252"/>
      <c r="P569" s="253"/>
      <c r="S569" s="254"/>
      <c r="T569" s="254"/>
      <c r="U569" s="254"/>
      <c r="V569" s="254"/>
    </row>
    <row r="570" spans="2:22" s="241" customFormat="1">
      <c r="S570" s="254"/>
      <c r="T570" s="254"/>
      <c r="U570" s="254"/>
      <c r="V570" s="254"/>
    </row>
    <row r="571" spans="2:22" s="241" customFormat="1">
      <c r="S571" s="254"/>
      <c r="T571" s="254"/>
      <c r="U571" s="254"/>
      <c r="V571" s="254"/>
    </row>
    <row r="572" spans="2:22" s="241" customFormat="1">
      <c r="B572" s="252"/>
      <c r="P572" s="253"/>
      <c r="S572" s="254"/>
      <c r="T572" s="254"/>
      <c r="U572" s="254"/>
      <c r="V572" s="254"/>
    </row>
    <row r="573" spans="2:22" s="241" customFormat="1">
      <c r="S573" s="254"/>
      <c r="T573" s="254"/>
      <c r="U573" s="254"/>
      <c r="V573" s="254"/>
    </row>
    <row r="574" spans="2:22" s="241" customFormat="1">
      <c r="S574" s="254"/>
      <c r="T574" s="254"/>
      <c r="U574" s="254"/>
      <c r="V574" s="254"/>
    </row>
    <row r="575" spans="2:22" s="241" customFormat="1">
      <c r="B575" s="252"/>
      <c r="P575" s="253"/>
      <c r="S575" s="254"/>
      <c r="T575" s="254"/>
      <c r="U575" s="254"/>
      <c r="V575" s="254"/>
    </row>
    <row r="576" spans="2:22" s="241" customFormat="1">
      <c r="S576" s="254"/>
      <c r="T576" s="254"/>
      <c r="U576" s="254"/>
      <c r="V576" s="254"/>
    </row>
    <row r="577" spans="2:22" s="241" customFormat="1">
      <c r="S577" s="254"/>
      <c r="T577" s="254"/>
      <c r="U577" s="254"/>
      <c r="V577" s="254"/>
    </row>
    <row r="578" spans="2:22" s="241" customFormat="1">
      <c r="B578" s="252"/>
      <c r="P578" s="253"/>
      <c r="S578" s="254"/>
      <c r="T578" s="254"/>
      <c r="U578" s="254"/>
      <c r="V578" s="254"/>
    </row>
    <row r="579" spans="2:22" s="241" customFormat="1">
      <c r="S579" s="254"/>
      <c r="T579" s="254"/>
      <c r="U579" s="254"/>
      <c r="V579" s="254"/>
    </row>
    <row r="580" spans="2:22" s="241" customFormat="1">
      <c r="S580" s="254"/>
      <c r="T580" s="254"/>
      <c r="U580" s="254"/>
      <c r="V580" s="254"/>
    </row>
    <row r="581" spans="2:22" s="241" customFormat="1">
      <c r="B581" s="252"/>
      <c r="P581" s="253"/>
      <c r="S581" s="254"/>
      <c r="T581" s="254"/>
      <c r="U581" s="254"/>
      <c r="V581" s="254"/>
    </row>
    <row r="582" spans="2:22" s="241" customFormat="1">
      <c r="S582" s="254"/>
      <c r="T582" s="254"/>
      <c r="U582" s="254"/>
      <c r="V582" s="254"/>
    </row>
    <row r="583" spans="2:22" s="241" customFormat="1">
      <c r="S583" s="254"/>
      <c r="T583" s="254"/>
      <c r="U583" s="254"/>
      <c r="V583" s="254"/>
    </row>
    <row r="584" spans="2:22" s="241" customFormat="1">
      <c r="B584" s="252"/>
      <c r="P584" s="253"/>
      <c r="S584" s="254"/>
      <c r="T584" s="254"/>
      <c r="U584" s="254"/>
      <c r="V584" s="254"/>
    </row>
    <row r="585" spans="2:22" s="241" customFormat="1">
      <c r="S585" s="254"/>
      <c r="T585" s="254"/>
      <c r="U585" s="254"/>
      <c r="V585" s="254"/>
    </row>
    <row r="586" spans="2:22" s="241" customFormat="1">
      <c r="S586" s="254"/>
      <c r="T586" s="254"/>
      <c r="U586" s="254"/>
      <c r="V586" s="254"/>
    </row>
    <row r="587" spans="2:22" s="241" customFormat="1">
      <c r="B587" s="252"/>
      <c r="P587" s="253"/>
      <c r="S587" s="254"/>
      <c r="T587" s="254"/>
      <c r="U587" s="254"/>
      <c r="V587" s="254"/>
    </row>
    <row r="588" spans="2:22" s="241" customFormat="1">
      <c r="S588" s="254"/>
      <c r="T588" s="254"/>
      <c r="U588" s="254"/>
      <c r="V588" s="254"/>
    </row>
    <row r="589" spans="2:22" s="241" customFormat="1">
      <c r="S589" s="254"/>
      <c r="T589" s="254"/>
      <c r="U589" s="254"/>
      <c r="V589" s="254"/>
    </row>
    <row r="590" spans="2:22" s="241" customFormat="1">
      <c r="B590" s="252"/>
      <c r="P590" s="253"/>
      <c r="S590" s="254"/>
      <c r="T590" s="254"/>
      <c r="U590" s="254"/>
      <c r="V590" s="254"/>
    </row>
    <row r="591" spans="2:22" s="241" customFormat="1">
      <c r="S591" s="254"/>
      <c r="T591" s="254"/>
      <c r="U591" s="254"/>
      <c r="V591" s="254"/>
    </row>
    <row r="592" spans="2:22" s="241" customFormat="1">
      <c r="S592" s="254"/>
      <c r="T592" s="254"/>
      <c r="U592" s="254"/>
      <c r="V592" s="254"/>
    </row>
    <row r="593" spans="2:22" s="241" customFormat="1">
      <c r="B593" s="252"/>
      <c r="P593" s="253"/>
      <c r="S593" s="254"/>
      <c r="T593" s="254"/>
      <c r="U593" s="254"/>
      <c r="V593" s="254"/>
    </row>
    <row r="594" spans="2:22" s="241" customFormat="1">
      <c r="S594" s="254"/>
      <c r="T594" s="254"/>
      <c r="U594" s="254"/>
      <c r="V594" s="254"/>
    </row>
    <row r="595" spans="2:22" s="241" customFormat="1">
      <c r="S595" s="254"/>
      <c r="T595" s="254"/>
      <c r="U595" s="254"/>
      <c r="V595" s="254"/>
    </row>
    <row r="596" spans="2:22" s="241" customFormat="1">
      <c r="B596" s="252"/>
      <c r="P596" s="253"/>
      <c r="S596" s="254"/>
      <c r="T596" s="254"/>
      <c r="U596" s="254"/>
      <c r="V596" s="254"/>
    </row>
    <row r="597" spans="2:22" s="241" customFormat="1">
      <c r="S597" s="254"/>
      <c r="T597" s="254"/>
      <c r="U597" s="254"/>
      <c r="V597" s="254"/>
    </row>
    <row r="598" spans="2:22" s="241" customFormat="1">
      <c r="S598" s="254"/>
      <c r="T598" s="254"/>
      <c r="U598" s="254"/>
      <c r="V598" s="254"/>
    </row>
    <row r="599" spans="2:22" s="241" customFormat="1">
      <c r="B599" s="252"/>
      <c r="P599" s="253"/>
      <c r="S599" s="254"/>
      <c r="T599" s="254"/>
      <c r="U599" s="254"/>
      <c r="V599" s="254"/>
    </row>
    <row r="600" spans="2:22" s="241" customFormat="1">
      <c r="S600" s="254"/>
      <c r="T600" s="254"/>
      <c r="U600" s="254"/>
      <c r="V600" s="254"/>
    </row>
    <row r="601" spans="2:22" s="241" customFormat="1">
      <c r="S601" s="254"/>
      <c r="T601" s="254"/>
      <c r="U601" s="254"/>
      <c r="V601" s="254"/>
    </row>
    <row r="602" spans="2:22" s="241" customFormat="1">
      <c r="B602" s="252"/>
      <c r="P602" s="253"/>
      <c r="S602" s="254"/>
      <c r="T602" s="254"/>
      <c r="U602" s="254"/>
      <c r="V602" s="254"/>
    </row>
    <row r="603" spans="2:22" s="241" customFormat="1">
      <c r="S603" s="254"/>
      <c r="T603" s="254"/>
      <c r="U603" s="254"/>
      <c r="V603" s="254"/>
    </row>
    <row r="604" spans="2:22" s="241" customFormat="1">
      <c r="S604" s="254"/>
      <c r="T604" s="254"/>
      <c r="U604" s="254"/>
      <c r="V604" s="254"/>
    </row>
    <row r="605" spans="2:22" s="241" customFormat="1">
      <c r="B605" s="252"/>
      <c r="P605" s="253"/>
      <c r="S605" s="254"/>
      <c r="T605" s="254"/>
      <c r="U605" s="254"/>
      <c r="V605" s="254"/>
    </row>
    <row r="606" spans="2:22" s="241" customFormat="1">
      <c r="S606" s="254"/>
      <c r="T606" s="254"/>
      <c r="U606" s="254"/>
      <c r="V606" s="254"/>
    </row>
    <row r="607" spans="2:22" s="241" customFormat="1">
      <c r="S607" s="254"/>
      <c r="T607" s="254"/>
      <c r="U607" s="254"/>
      <c r="V607" s="254"/>
    </row>
    <row r="608" spans="2:22" s="241" customFormat="1">
      <c r="B608" s="252"/>
      <c r="P608" s="253"/>
      <c r="S608" s="254"/>
      <c r="T608" s="254"/>
      <c r="U608" s="254"/>
      <c r="V608" s="254"/>
    </row>
    <row r="609" spans="2:22" s="241" customFormat="1">
      <c r="S609" s="254"/>
      <c r="T609" s="254"/>
      <c r="U609" s="254"/>
      <c r="V609" s="254"/>
    </row>
    <row r="610" spans="2:22" s="241" customFormat="1">
      <c r="S610" s="254"/>
      <c r="T610" s="254"/>
      <c r="U610" s="254"/>
      <c r="V610" s="254"/>
    </row>
    <row r="611" spans="2:22" s="241" customFormat="1">
      <c r="B611" s="252"/>
      <c r="P611" s="253"/>
      <c r="S611" s="254"/>
      <c r="T611" s="254"/>
      <c r="U611" s="254"/>
      <c r="V611" s="254"/>
    </row>
    <row r="612" spans="2:22" s="241" customFormat="1">
      <c r="S612" s="254"/>
      <c r="T612" s="254"/>
      <c r="U612" s="254"/>
      <c r="V612" s="254"/>
    </row>
    <row r="613" spans="2:22" s="241" customFormat="1">
      <c r="S613" s="254"/>
      <c r="T613" s="254"/>
      <c r="U613" s="254"/>
      <c r="V613" s="254"/>
    </row>
    <row r="614" spans="2:22" s="241" customFormat="1">
      <c r="B614" s="252"/>
      <c r="P614" s="253"/>
      <c r="S614" s="254"/>
      <c r="T614" s="254"/>
      <c r="U614" s="254"/>
      <c r="V614" s="254"/>
    </row>
    <row r="615" spans="2:22" s="241" customFormat="1">
      <c r="S615" s="254"/>
      <c r="T615" s="254"/>
      <c r="U615" s="254"/>
      <c r="V615" s="254"/>
    </row>
    <row r="616" spans="2:22" s="241" customFormat="1">
      <c r="S616" s="254"/>
      <c r="T616" s="254"/>
      <c r="U616" s="254"/>
      <c r="V616" s="254"/>
    </row>
    <row r="617" spans="2:22" s="241" customFormat="1">
      <c r="B617" s="252"/>
      <c r="P617" s="253"/>
      <c r="S617" s="254"/>
      <c r="T617" s="254"/>
      <c r="U617" s="254"/>
      <c r="V617" s="254"/>
    </row>
    <row r="618" spans="2:22" s="241" customFormat="1"/>
    <row r="619" spans="2:22" s="241" customFormat="1"/>
    <row r="620" spans="2:22" s="241" customFormat="1"/>
    <row r="621" spans="2:22" s="241" customFormat="1"/>
    <row r="622" spans="2:22" s="241" customFormat="1"/>
    <row r="623" spans="2:22" s="241" customFormat="1"/>
    <row r="624" spans="2:22" s="241" customFormat="1"/>
    <row r="625" s="241" customFormat="1"/>
    <row r="626" s="241" customFormat="1"/>
    <row r="627" s="241" customFormat="1"/>
    <row r="628" s="241" customFormat="1"/>
    <row r="629" s="241" customFormat="1"/>
    <row r="630" s="241" customFormat="1"/>
    <row r="631" s="241" customFormat="1"/>
    <row r="632" s="241" customFormat="1"/>
    <row r="633" s="241" customFormat="1"/>
    <row r="634" s="241" customFormat="1"/>
    <row r="635" s="241" customFormat="1"/>
    <row r="636" s="241" customFormat="1"/>
    <row r="637" s="241" customFormat="1"/>
    <row r="638" s="241" customFormat="1"/>
    <row r="639" s="241" customFormat="1"/>
    <row r="640" s="241" customFormat="1"/>
    <row r="641" s="241" customFormat="1"/>
    <row r="642" s="241" customFormat="1"/>
    <row r="643" s="241" customFormat="1"/>
    <row r="644" s="241" customFormat="1"/>
    <row r="645" s="241" customFormat="1"/>
    <row r="646" s="241" customFormat="1"/>
    <row r="647" s="241" customFormat="1"/>
    <row r="648" s="241" customFormat="1"/>
    <row r="649" s="241" customFormat="1"/>
    <row r="650" s="241" customFormat="1"/>
    <row r="651" s="241" customFormat="1"/>
    <row r="652" s="241" customFormat="1"/>
    <row r="653" s="241" customFormat="1"/>
    <row r="654" s="241" customFormat="1"/>
    <row r="655" s="241" customFormat="1"/>
    <row r="656" s="241" customFormat="1"/>
    <row r="657" s="241" customFormat="1"/>
    <row r="658" s="241" customFormat="1"/>
    <row r="659" s="241" customFormat="1"/>
    <row r="660" s="241" customFormat="1"/>
    <row r="661" s="241" customFormat="1"/>
    <row r="662" s="241" customFormat="1"/>
    <row r="663" s="241" customFormat="1"/>
    <row r="664" s="241" customFormat="1"/>
    <row r="665" s="241" customFormat="1"/>
    <row r="666" s="241" customFormat="1"/>
    <row r="667" s="241" customFormat="1"/>
    <row r="668" s="241" customFormat="1"/>
    <row r="669" s="241" customFormat="1"/>
    <row r="670" s="241" customFormat="1"/>
    <row r="671" s="241" customFormat="1"/>
    <row r="672" s="241" customFormat="1"/>
    <row r="673" s="241" customFormat="1"/>
    <row r="674" s="241" customFormat="1"/>
    <row r="675" s="241" customFormat="1"/>
    <row r="676" s="241" customFormat="1"/>
    <row r="677" s="241" customFormat="1"/>
    <row r="678" s="241" customFormat="1"/>
    <row r="679" s="241" customFormat="1"/>
    <row r="680" s="241" customFormat="1"/>
    <row r="681" s="241" customFormat="1"/>
    <row r="682" s="241" customFormat="1"/>
    <row r="683" s="241" customFormat="1"/>
    <row r="684" s="241" customFormat="1"/>
    <row r="685" s="241" customFormat="1"/>
    <row r="686" s="241" customFormat="1"/>
    <row r="687" s="241" customFormat="1"/>
    <row r="688" s="241" customFormat="1"/>
    <row r="689" s="241" customFormat="1"/>
    <row r="690" s="241" customFormat="1"/>
    <row r="691" s="241" customFormat="1"/>
    <row r="692" s="241" customFormat="1"/>
    <row r="693" s="241" customFormat="1"/>
    <row r="694" s="241" customFormat="1"/>
    <row r="695" s="241" customFormat="1"/>
    <row r="696" s="241" customFormat="1"/>
    <row r="697" s="241" customFormat="1"/>
    <row r="698" s="241" customFormat="1"/>
    <row r="699" s="241" customFormat="1"/>
    <row r="700" s="241" customFormat="1"/>
    <row r="701" s="241" customFormat="1"/>
    <row r="702" s="241" customFormat="1"/>
    <row r="703" s="241" customFormat="1"/>
    <row r="704" s="241" customFormat="1"/>
    <row r="705" s="241" customFormat="1"/>
    <row r="706" s="241" customFormat="1"/>
    <row r="707" s="241" customFormat="1"/>
    <row r="708" s="241" customFormat="1"/>
    <row r="709" s="241" customFormat="1"/>
    <row r="710" s="241" customFormat="1"/>
    <row r="711" s="241" customFormat="1"/>
    <row r="712" s="241" customFormat="1"/>
    <row r="713" s="241" customFormat="1"/>
    <row r="714" s="241" customFormat="1"/>
    <row r="715" s="241" customFormat="1"/>
    <row r="716" s="241" customFormat="1"/>
    <row r="717" s="241" customFormat="1"/>
    <row r="718" s="241" customFormat="1"/>
    <row r="719" s="241" customFormat="1"/>
    <row r="720" s="241" customFormat="1"/>
    <row r="721" s="241" customFormat="1"/>
    <row r="722" s="241" customFormat="1"/>
    <row r="723" s="241" customFormat="1"/>
    <row r="724" s="241" customFormat="1"/>
    <row r="725" s="241" customFormat="1"/>
    <row r="726" s="241" customFormat="1"/>
    <row r="727" s="241" customFormat="1"/>
    <row r="728" s="241" customFormat="1"/>
    <row r="729" s="241" customFormat="1"/>
    <row r="730" s="241" customFormat="1"/>
    <row r="731" s="241" customFormat="1"/>
    <row r="732" s="241" customFormat="1"/>
    <row r="733" s="241" customFormat="1"/>
    <row r="734" s="241" customFormat="1"/>
    <row r="735" s="241" customFormat="1"/>
    <row r="736" s="241" customFormat="1"/>
    <row r="737" s="241" customFormat="1"/>
    <row r="738" s="241" customFormat="1"/>
    <row r="739" s="241" customFormat="1"/>
    <row r="740" s="241" customFormat="1"/>
    <row r="741" s="241" customFormat="1"/>
    <row r="742" s="241" customFormat="1"/>
    <row r="743" s="241" customFormat="1"/>
    <row r="744" s="241" customFormat="1"/>
    <row r="745" s="241" customFormat="1"/>
    <row r="746" s="241" customFormat="1"/>
    <row r="747" s="241" customFormat="1"/>
    <row r="748" s="241" customFormat="1"/>
    <row r="749" s="241" customFormat="1"/>
    <row r="750" s="241" customFormat="1"/>
    <row r="751" s="241" customFormat="1"/>
    <row r="752" s="241" customFormat="1"/>
    <row r="753" s="241" customFormat="1"/>
    <row r="754" s="241" customFormat="1"/>
    <row r="755" s="241" customFormat="1"/>
    <row r="756" s="241" customFormat="1"/>
    <row r="757" s="241" customFormat="1"/>
    <row r="758" s="241" customFormat="1"/>
    <row r="759" s="241" customFormat="1"/>
    <row r="760" s="241" customFormat="1"/>
    <row r="761" s="241" customFormat="1"/>
    <row r="762" s="241" customFormat="1"/>
    <row r="763" s="241" customFormat="1"/>
    <row r="764" s="241" customFormat="1"/>
    <row r="765" s="241" customFormat="1"/>
    <row r="766" s="241" customFormat="1"/>
    <row r="767" s="241" customFormat="1"/>
    <row r="768" s="241" customFormat="1"/>
    <row r="769" s="241" customFormat="1"/>
    <row r="770" s="241" customFormat="1"/>
    <row r="771" s="241" customFormat="1"/>
    <row r="772" s="241" customFormat="1"/>
    <row r="773" s="241" customFormat="1"/>
    <row r="774" s="241" customFormat="1"/>
    <row r="775" s="241" customFormat="1"/>
    <row r="776" s="241" customFormat="1"/>
    <row r="777" s="241" customFormat="1"/>
    <row r="778" s="241" customFormat="1"/>
    <row r="779" s="241" customFormat="1"/>
    <row r="780" s="241" customFormat="1"/>
    <row r="781" s="241" customFormat="1"/>
    <row r="782" s="241" customFormat="1"/>
    <row r="783" s="241" customFormat="1"/>
    <row r="784" s="241" customFormat="1"/>
    <row r="785" s="241" customFormat="1"/>
    <row r="786" s="241" customFormat="1"/>
    <row r="787" s="241" customFormat="1"/>
    <row r="788" s="241" customFormat="1"/>
    <row r="789" s="241" customFormat="1"/>
    <row r="790" s="241" customFormat="1"/>
    <row r="791" s="241" customFormat="1"/>
    <row r="792" s="241" customFormat="1"/>
    <row r="793" s="241" customFormat="1"/>
    <row r="794" s="241" customFormat="1"/>
    <row r="795" s="241" customFormat="1"/>
    <row r="796" s="241" customFormat="1"/>
    <row r="797" s="241" customFormat="1"/>
    <row r="798" s="241" customFormat="1"/>
    <row r="799" s="241" customFormat="1"/>
    <row r="800" s="241" customFormat="1"/>
    <row r="801" s="241" customFormat="1"/>
    <row r="802" s="241" customFormat="1"/>
    <row r="803" s="241" customFormat="1"/>
    <row r="804" s="241" customFormat="1"/>
    <row r="805" s="241" customFormat="1"/>
    <row r="806" s="241" customFormat="1"/>
    <row r="807" s="241" customFormat="1"/>
    <row r="808" s="241" customFormat="1"/>
    <row r="809" s="241" customFormat="1"/>
    <row r="810" s="241" customFormat="1"/>
    <row r="811" s="241" customFormat="1"/>
    <row r="812" s="241" customFormat="1"/>
    <row r="813" s="241" customFormat="1"/>
    <row r="814" s="241" customFormat="1"/>
    <row r="815" s="241" customFormat="1"/>
    <row r="816" s="241" customFormat="1"/>
    <row r="817" s="241" customFormat="1"/>
    <row r="818" s="241" customFormat="1"/>
    <row r="819" s="241" customFormat="1"/>
    <row r="820" s="241" customFormat="1"/>
    <row r="821" s="241" customFormat="1"/>
    <row r="822" s="241" customFormat="1"/>
    <row r="823" s="241" customFormat="1"/>
    <row r="824" s="241" customFormat="1"/>
    <row r="825" s="241" customFormat="1"/>
    <row r="826" s="241" customFormat="1"/>
    <row r="827" s="241" customFormat="1"/>
    <row r="828" s="241" customFormat="1"/>
    <row r="829" s="241" customFormat="1"/>
    <row r="830" s="241" customFormat="1"/>
    <row r="831" s="241" customFormat="1"/>
    <row r="832" s="241" customFormat="1"/>
    <row r="833" s="241" customFormat="1"/>
    <row r="834" s="241" customFormat="1"/>
    <row r="835" s="241" customFormat="1"/>
    <row r="836" s="241" customFormat="1"/>
    <row r="837" s="241" customFormat="1"/>
    <row r="838" s="241" customFormat="1"/>
    <row r="839" s="241" customFormat="1"/>
    <row r="840" s="241" customFormat="1"/>
    <row r="841" s="241" customFormat="1"/>
    <row r="842" s="241" customFormat="1"/>
    <row r="843" s="241" customFormat="1"/>
    <row r="844" s="241" customFormat="1"/>
    <row r="845" s="241" customFormat="1"/>
    <row r="846" s="241" customFormat="1"/>
    <row r="847" s="241" customFormat="1"/>
    <row r="848" s="241" customFormat="1"/>
    <row r="849" s="241" customFormat="1"/>
    <row r="850" s="241" customFormat="1"/>
    <row r="851" s="241" customFormat="1"/>
    <row r="852" s="241" customFormat="1"/>
    <row r="853" s="241" customFormat="1"/>
    <row r="854" s="241" customFormat="1"/>
    <row r="855" s="241" customFormat="1"/>
    <row r="856" s="241" customFormat="1"/>
    <row r="857" s="241" customFormat="1"/>
    <row r="858" s="241" customFormat="1"/>
    <row r="859" s="241" customFormat="1"/>
    <row r="860" s="241" customFormat="1"/>
    <row r="861" s="241" customFormat="1"/>
    <row r="862" s="241" customFormat="1"/>
    <row r="863" s="241" customFormat="1"/>
    <row r="864" s="241" customFormat="1"/>
    <row r="865" s="241" customFormat="1"/>
    <row r="866" s="241" customFormat="1"/>
    <row r="867" s="241" customFormat="1"/>
    <row r="868" s="241" customFormat="1"/>
    <row r="869" s="241" customFormat="1"/>
    <row r="870" s="241" customFormat="1"/>
    <row r="871" s="241" customFormat="1"/>
    <row r="872" s="241" customFormat="1"/>
    <row r="873" s="241" customFormat="1"/>
    <row r="874" s="241" customFormat="1"/>
    <row r="875" s="241" customFormat="1"/>
    <row r="876" s="241" customFormat="1"/>
    <row r="877" s="241" customFormat="1"/>
    <row r="878" s="241" customFormat="1"/>
    <row r="879" s="241" customFormat="1"/>
    <row r="880" s="241" customFormat="1"/>
    <row r="881" s="241" customFormat="1"/>
    <row r="882" s="241" customForma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1AF9-60DF-43DB-92D7-EF8449039E21}">
  <sheetPr>
    <tabColor rgb="FFFFFF00"/>
  </sheetPr>
  <dimension ref="A2:Z882"/>
  <sheetViews>
    <sheetView workbookViewId="0">
      <selection sqref="A1:XFD1048576"/>
    </sheetView>
  </sheetViews>
  <sheetFormatPr defaultColWidth="8.88671875" defaultRowHeight="15"/>
  <cols>
    <col min="1" max="1" width="5.44140625" style="221" customWidth="1"/>
    <col min="2" max="2" width="20.88671875" style="221" customWidth="1"/>
    <col min="3" max="10" width="7.21875" style="221" customWidth="1"/>
    <col min="11" max="11" width="7.88671875" style="221" customWidth="1"/>
    <col min="12" max="15" width="8.6640625" style="221" customWidth="1"/>
    <col min="16" max="16" width="7.88671875" style="221" customWidth="1"/>
    <col min="17" max="18" width="8.6640625" style="221" customWidth="1"/>
    <col min="19" max="19" width="7.88671875" style="221" customWidth="1"/>
    <col min="20" max="22" width="8.6640625" style="221" customWidth="1"/>
    <col min="23" max="23" width="7.88671875" style="221" customWidth="1"/>
    <col min="24" max="25" width="8.6640625" style="221" customWidth="1"/>
    <col min="26" max="26" width="7.88671875" style="221" customWidth="1"/>
    <col min="27" max="16384" width="8.88671875" style="221"/>
  </cols>
  <sheetData>
    <row r="2" spans="1:26">
      <c r="S2" s="222"/>
      <c r="T2" s="222"/>
    </row>
    <row r="3" spans="1:26">
      <c r="A3" s="223"/>
      <c r="B3" s="224"/>
      <c r="C3" s="168"/>
      <c r="D3" s="171"/>
      <c r="E3" s="171"/>
      <c r="F3" s="171"/>
      <c r="G3" s="171"/>
      <c r="H3" s="171"/>
      <c r="I3" s="171"/>
      <c r="J3" s="170"/>
      <c r="K3" s="171"/>
      <c r="L3" s="171"/>
      <c r="M3" s="171"/>
      <c r="N3" s="171"/>
      <c r="O3" s="170"/>
      <c r="P3" s="171"/>
      <c r="Q3" s="171"/>
      <c r="R3" s="170"/>
      <c r="S3" s="225"/>
      <c r="T3" s="226"/>
      <c r="U3" s="226"/>
      <c r="V3" s="226"/>
      <c r="W3" s="226"/>
      <c r="X3" s="226"/>
      <c r="Y3" s="226"/>
      <c r="Z3" s="226"/>
    </row>
    <row r="4" spans="1:26">
      <c r="A4" s="223"/>
      <c r="B4" s="224"/>
      <c r="C4" s="168"/>
      <c r="D4" s="169"/>
      <c r="E4" s="169"/>
      <c r="F4" s="169"/>
      <c r="G4" s="169"/>
      <c r="H4" s="169"/>
      <c r="I4" s="169"/>
      <c r="J4" s="181"/>
      <c r="K4" s="168"/>
      <c r="L4" s="227"/>
      <c r="M4" s="169"/>
      <c r="N4" s="169"/>
      <c r="O4" s="181"/>
      <c r="P4" s="168"/>
      <c r="Q4" s="227"/>
      <c r="R4" s="181"/>
      <c r="S4" s="228"/>
      <c r="T4" s="226"/>
      <c r="U4" s="226"/>
      <c r="V4" s="226"/>
      <c r="W4" s="226"/>
      <c r="X4" s="226"/>
      <c r="Y4" s="226"/>
      <c r="Z4" s="226"/>
    </row>
    <row r="5" spans="1:26">
      <c r="A5" s="229"/>
      <c r="B5" s="230"/>
      <c r="C5" s="223"/>
      <c r="D5" s="231"/>
      <c r="E5" s="231"/>
      <c r="F5" s="231"/>
      <c r="G5" s="231"/>
      <c r="H5" s="231"/>
      <c r="I5" s="231"/>
      <c r="J5" s="231"/>
      <c r="K5" s="182"/>
      <c r="L5" s="232"/>
      <c r="M5" s="233"/>
      <c r="N5" s="233"/>
      <c r="O5" s="233"/>
      <c r="P5" s="234"/>
      <c r="Q5" s="232"/>
      <c r="R5" s="233"/>
      <c r="S5" s="235"/>
      <c r="T5" s="226"/>
      <c r="U5" s="226"/>
      <c r="V5" s="226"/>
      <c r="W5" s="226"/>
      <c r="X5" s="226"/>
      <c r="Y5" s="226"/>
      <c r="Z5" s="226"/>
    </row>
    <row r="6" spans="1:26" s="241" customFormat="1">
      <c r="A6" s="236"/>
      <c r="B6" s="237"/>
      <c r="C6" s="237"/>
      <c r="D6" s="237"/>
      <c r="E6" s="237"/>
      <c r="F6" s="237"/>
      <c r="G6" s="237"/>
      <c r="H6" s="237"/>
      <c r="I6" s="237"/>
      <c r="J6" s="237"/>
      <c r="K6" s="238"/>
      <c r="L6" s="239"/>
      <c r="M6" s="237"/>
      <c r="N6" s="237"/>
      <c r="O6" s="237"/>
      <c r="P6" s="238"/>
      <c r="Q6" s="239"/>
      <c r="R6" s="237"/>
      <c r="S6" s="240"/>
      <c r="T6" s="226"/>
      <c r="U6" s="226"/>
      <c r="V6" s="226"/>
      <c r="W6" s="226"/>
      <c r="X6" s="226"/>
      <c r="Y6" s="226"/>
      <c r="Z6" s="226"/>
    </row>
    <row r="7" spans="1:26" s="241" customFormat="1">
      <c r="A7" s="242"/>
      <c r="B7" s="243"/>
      <c r="C7" s="243"/>
      <c r="D7" s="243"/>
      <c r="E7" s="243"/>
      <c r="F7" s="243"/>
      <c r="G7" s="243"/>
      <c r="H7" s="243"/>
      <c r="I7" s="243"/>
      <c r="J7" s="243"/>
      <c r="K7" s="244"/>
      <c r="L7" s="245"/>
      <c r="M7" s="243"/>
      <c r="N7" s="243"/>
      <c r="O7" s="243"/>
      <c r="P7" s="244"/>
      <c r="Q7" s="245"/>
      <c r="R7" s="243"/>
      <c r="S7" s="246"/>
      <c r="T7" s="226"/>
      <c r="U7" s="226"/>
      <c r="V7" s="226"/>
      <c r="W7" s="226"/>
      <c r="X7" s="226"/>
      <c r="Y7" s="226"/>
      <c r="Z7" s="226"/>
    </row>
    <row r="8" spans="1:26" s="241" customFormat="1">
      <c r="A8" s="242"/>
      <c r="B8" s="237"/>
      <c r="C8" s="237"/>
      <c r="D8" s="237"/>
      <c r="E8" s="237"/>
      <c r="F8" s="237"/>
      <c r="G8" s="237"/>
      <c r="H8" s="237"/>
      <c r="I8" s="237"/>
      <c r="J8" s="237"/>
      <c r="K8" s="238"/>
      <c r="L8" s="239"/>
      <c r="M8" s="237"/>
      <c r="N8" s="237"/>
      <c r="O8" s="237"/>
      <c r="P8" s="238"/>
      <c r="Q8" s="239"/>
      <c r="R8" s="237"/>
      <c r="S8" s="240"/>
      <c r="T8" s="226"/>
      <c r="U8" s="226"/>
      <c r="V8" s="226"/>
      <c r="W8" s="226"/>
      <c r="X8" s="226"/>
      <c r="Y8" s="226"/>
      <c r="Z8" s="226"/>
    </row>
    <row r="9" spans="1:26" s="241" customFormat="1">
      <c r="A9" s="242"/>
      <c r="B9" s="243"/>
      <c r="C9" s="243"/>
      <c r="D9" s="243"/>
      <c r="E9" s="243"/>
      <c r="F9" s="243"/>
      <c r="G9" s="243"/>
      <c r="H9" s="243"/>
      <c r="I9" s="243"/>
      <c r="J9" s="243"/>
      <c r="K9" s="244"/>
      <c r="L9" s="245"/>
      <c r="M9" s="243"/>
      <c r="N9" s="243"/>
      <c r="O9" s="243"/>
      <c r="P9" s="244"/>
      <c r="Q9" s="245"/>
      <c r="R9" s="243"/>
      <c r="S9" s="246"/>
      <c r="T9" s="226"/>
      <c r="U9" s="226"/>
      <c r="V9" s="226"/>
      <c r="W9" s="226"/>
      <c r="X9" s="226"/>
      <c r="Y9" s="226"/>
      <c r="Z9" s="226"/>
    </row>
    <row r="10" spans="1:26" s="241" customFormat="1">
      <c r="A10" s="242"/>
      <c r="B10" s="237"/>
      <c r="C10" s="237"/>
      <c r="D10" s="237"/>
      <c r="E10" s="237"/>
      <c r="F10" s="237"/>
      <c r="G10" s="237"/>
      <c r="H10" s="237"/>
      <c r="I10" s="237"/>
      <c r="J10" s="237"/>
      <c r="K10" s="238"/>
      <c r="L10" s="239"/>
      <c r="M10" s="237"/>
      <c r="N10" s="237"/>
      <c r="O10" s="237"/>
      <c r="P10" s="238"/>
      <c r="Q10" s="239"/>
      <c r="R10" s="237"/>
      <c r="S10" s="240"/>
      <c r="T10" s="226"/>
      <c r="U10" s="226"/>
      <c r="V10" s="226"/>
      <c r="W10" s="226"/>
      <c r="X10" s="226"/>
      <c r="Y10" s="226"/>
      <c r="Z10" s="226"/>
    </row>
    <row r="11" spans="1:26" s="241" customFormat="1">
      <c r="A11" s="242"/>
      <c r="B11" s="243"/>
      <c r="C11" s="243"/>
      <c r="D11" s="243"/>
      <c r="E11" s="243"/>
      <c r="F11" s="243"/>
      <c r="G11" s="243"/>
      <c r="H11" s="243"/>
      <c r="I11" s="243"/>
      <c r="J11" s="243"/>
      <c r="K11" s="244"/>
      <c r="L11" s="245"/>
      <c r="M11" s="243"/>
      <c r="N11" s="243"/>
      <c r="O11" s="243"/>
      <c r="P11" s="244"/>
      <c r="Q11" s="245"/>
      <c r="R11" s="243"/>
      <c r="S11" s="246"/>
      <c r="T11" s="226"/>
      <c r="U11" s="226"/>
      <c r="V11" s="226"/>
      <c r="W11" s="226"/>
      <c r="X11" s="226"/>
      <c r="Y11" s="226"/>
      <c r="Z11" s="226"/>
    </row>
    <row r="12" spans="1:26" s="241" customFormat="1">
      <c r="A12" s="242"/>
      <c r="B12" s="237"/>
      <c r="C12" s="237"/>
      <c r="D12" s="237"/>
      <c r="E12" s="237"/>
      <c r="F12" s="237"/>
      <c r="G12" s="237"/>
      <c r="H12" s="237"/>
      <c r="I12" s="237"/>
      <c r="J12" s="237"/>
      <c r="K12" s="238"/>
      <c r="L12" s="239"/>
      <c r="M12" s="237"/>
      <c r="N12" s="237"/>
      <c r="O12" s="237"/>
      <c r="P12" s="238"/>
      <c r="Q12" s="239"/>
      <c r="R12" s="237"/>
      <c r="S12" s="240"/>
      <c r="T12" s="226"/>
      <c r="U12" s="226"/>
      <c r="V12" s="226"/>
      <c r="W12" s="226"/>
      <c r="X12" s="226"/>
      <c r="Y12" s="226"/>
      <c r="Z12" s="226"/>
    </row>
    <row r="13" spans="1:26" s="241" customFormat="1">
      <c r="A13" s="247"/>
      <c r="B13" s="243"/>
      <c r="C13" s="243"/>
      <c r="D13" s="243"/>
      <c r="E13" s="243"/>
      <c r="F13" s="243"/>
      <c r="G13" s="243"/>
      <c r="H13" s="243"/>
      <c r="I13" s="243"/>
      <c r="J13" s="243"/>
      <c r="K13" s="244"/>
      <c r="L13" s="245"/>
      <c r="M13" s="243"/>
      <c r="N13" s="243"/>
      <c r="O13" s="243"/>
      <c r="P13" s="244"/>
      <c r="Q13" s="245"/>
      <c r="R13" s="243"/>
      <c r="S13" s="246"/>
      <c r="T13" s="226"/>
      <c r="U13" s="226"/>
      <c r="V13" s="226"/>
      <c r="W13" s="226"/>
      <c r="X13" s="226"/>
      <c r="Y13" s="226"/>
      <c r="Z13" s="226"/>
    </row>
    <row r="14" spans="1:26" s="241" customFormat="1">
      <c r="A14" s="236"/>
      <c r="B14" s="237"/>
      <c r="C14" s="237"/>
      <c r="D14" s="237"/>
      <c r="E14" s="237"/>
      <c r="F14" s="237"/>
      <c r="G14" s="237"/>
      <c r="H14" s="237"/>
      <c r="I14" s="237"/>
      <c r="J14" s="237"/>
      <c r="K14" s="239"/>
      <c r="L14" s="237"/>
      <c r="M14" s="237"/>
      <c r="N14" s="237"/>
      <c r="O14" s="237"/>
      <c r="P14" s="239"/>
      <c r="Q14" s="237"/>
      <c r="R14" s="248"/>
      <c r="S14" s="240"/>
      <c r="T14" s="226"/>
      <c r="U14" s="226"/>
      <c r="V14" s="226"/>
      <c r="W14" s="226"/>
      <c r="X14" s="226"/>
      <c r="Y14" s="226"/>
      <c r="Z14" s="226"/>
    </row>
    <row r="15" spans="1:26" s="241" customFormat="1">
      <c r="A15" s="242"/>
      <c r="B15" s="243"/>
      <c r="C15" s="243"/>
      <c r="D15" s="243"/>
      <c r="E15" s="243"/>
      <c r="F15" s="243"/>
      <c r="G15" s="243"/>
      <c r="H15" s="243"/>
      <c r="I15" s="243"/>
      <c r="J15" s="243"/>
      <c r="K15" s="245"/>
      <c r="L15" s="243"/>
      <c r="M15" s="243"/>
      <c r="N15" s="243"/>
      <c r="O15" s="243"/>
      <c r="P15" s="245"/>
      <c r="Q15" s="243"/>
      <c r="R15" s="249"/>
      <c r="S15" s="246"/>
      <c r="T15" s="226"/>
      <c r="U15" s="226"/>
      <c r="V15" s="226"/>
      <c r="W15" s="226"/>
      <c r="X15" s="226"/>
      <c r="Y15" s="226"/>
      <c r="Z15" s="226"/>
    </row>
    <row r="16" spans="1:26" s="241" customFormat="1">
      <c r="A16" s="242"/>
      <c r="B16" s="237"/>
      <c r="C16" s="237"/>
      <c r="D16" s="237"/>
      <c r="E16" s="237"/>
      <c r="F16" s="237"/>
      <c r="G16" s="237"/>
      <c r="H16" s="237"/>
      <c r="I16" s="237"/>
      <c r="J16" s="237"/>
      <c r="K16" s="250"/>
      <c r="L16" s="237"/>
      <c r="M16" s="237"/>
      <c r="N16" s="237"/>
      <c r="O16" s="237"/>
      <c r="P16" s="250"/>
      <c r="Q16" s="237"/>
      <c r="R16" s="248"/>
      <c r="S16" s="240"/>
      <c r="T16" s="226"/>
      <c r="U16" s="226"/>
      <c r="V16" s="226"/>
      <c r="W16" s="226"/>
      <c r="X16" s="226"/>
      <c r="Y16" s="226"/>
      <c r="Z16" s="226"/>
    </row>
    <row r="17" spans="1:26" s="241" customFormat="1">
      <c r="A17" s="242"/>
      <c r="B17" s="243"/>
      <c r="C17" s="243"/>
      <c r="D17" s="243"/>
      <c r="E17" s="243"/>
      <c r="F17" s="243"/>
      <c r="G17" s="243"/>
      <c r="H17" s="243"/>
      <c r="I17" s="243"/>
      <c r="J17" s="243"/>
      <c r="K17" s="251"/>
      <c r="L17" s="243"/>
      <c r="M17" s="243"/>
      <c r="N17" s="243"/>
      <c r="O17" s="243"/>
      <c r="P17" s="251"/>
      <c r="Q17" s="243"/>
      <c r="R17" s="249"/>
      <c r="S17" s="246"/>
      <c r="T17" s="226"/>
      <c r="U17" s="226"/>
      <c r="V17" s="226"/>
      <c r="W17" s="226"/>
      <c r="X17" s="226"/>
      <c r="Y17" s="226"/>
      <c r="Z17" s="226"/>
    </row>
    <row r="18" spans="1:26" s="241" customFormat="1">
      <c r="A18" s="242"/>
      <c r="B18" s="237"/>
      <c r="C18" s="237"/>
      <c r="D18" s="237"/>
      <c r="E18" s="237"/>
      <c r="F18" s="237"/>
      <c r="G18" s="237"/>
      <c r="H18" s="237"/>
      <c r="I18" s="237"/>
      <c r="J18" s="237"/>
      <c r="K18" s="239"/>
      <c r="L18" s="237"/>
      <c r="M18" s="237"/>
      <c r="N18" s="237"/>
      <c r="O18" s="237"/>
      <c r="P18" s="239"/>
      <c r="Q18" s="237"/>
      <c r="R18" s="248"/>
      <c r="S18" s="240"/>
      <c r="T18" s="226"/>
      <c r="U18" s="226"/>
      <c r="V18" s="226"/>
      <c r="W18" s="226"/>
      <c r="X18" s="226"/>
      <c r="Y18" s="226"/>
      <c r="Z18" s="226"/>
    </row>
    <row r="19" spans="1:26" s="241" customFormat="1">
      <c r="A19" s="242"/>
      <c r="B19" s="243"/>
      <c r="C19" s="243"/>
      <c r="D19" s="243"/>
      <c r="E19" s="243"/>
      <c r="F19" s="243"/>
      <c r="G19" s="243"/>
      <c r="H19" s="243"/>
      <c r="I19" s="243"/>
      <c r="J19" s="243"/>
      <c r="K19" s="245"/>
      <c r="L19" s="243"/>
      <c r="M19" s="243"/>
      <c r="N19" s="243"/>
      <c r="O19" s="243"/>
      <c r="P19" s="245"/>
      <c r="Q19" s="243"/>
      <c r="R19" s="249"/>
      <c r="S19" s="246"/>
      <c r="T19" s="226"/>
      <c r="U19" s="226"/>
      <c r="V19" s="226"/>
      <c r="W19" s="226"/>
      <c r="X19" s="226"/>
      <c r="Y19" s="226"/>
      <c r="Z19" s="226"/>
    </row>
    <row r="20" spans="1:26" s="241" customFormat="1">
      <c r="A20" s="242"/>
      <c r="B20" s="237"/>
      <c r="C20" s="237"/>
      <c r="D20" s="237"/>
      <c r="E20" s="237"/>
      <c r="F20" s="237"/>
      <c r="G20" s="237"/>
      <c r="H20" s="237"/>
      <c r="I20" s="237"/>
      <c r="J20" s="237"/>
      <c r="K20" s="239"/>
      <c r="L20" s="237"/>
      <c r="M20" s="237"/>
      <c r="N20" s="237"/>
      <c r="O20" s="237"/>
      <c r="P20" s="239"/>
      <c r="Q20" s="237"/>
      <c r="R20" s="248"/>
      <c r="S20" s="240"/>
      <c r="T20" s="226"/>
      <c r="U20" s="226"/>
      <c r="V20" s="226"/>
      <c r="W20" s="226"/>
      <c r="X20" s="226"/>
      <c r="Y20" s="226"/>
      <c r="Z20" s="226"/>
    </row>
    <row r="21" spans="1:26" s="241" customFormat="1">
      <c r="A21" s="247"/>
      <c r="B21" s="243"/>
      <c r="C21" s="243"/>
      <c r="D21" s="243"/>
      <c r="E21" s="243"/>
      <c r="F21" s="243"/>
      <c r="G21" s="243"/>
      <c r="H21" s="243"/>
      <c r="I21" s="243"/>
      <c r="J21" s="243"/>
      <c r="K21" s="245"/>
      <c r="L21" s="243"/>
      <c r="M21" s="243"/>
      <c r="N21" s="243"/>
      <c r="O21" s="243"/>
      <c r="P21" s="245"/>
      <c r="Q21" s="243"/>
      <c r="R21" s="249"/>
      <c r="S21" s="246"/>
      <c r="T21" s="226"/>
      <c r="U21" s="226"/>
      <c r="V21" s="226"/>
      <c r="W21" s="226"/>
      <c r="X21" s="226"/>
      <c r="Y21" s="226"/>
      <c r="Z21" s="226"/>
    </row>
    <row r="22" spans="1:26" s="241" customFormat="1">
      <c r="A22" s="236"/>
      <c r="B22" s="237"/>
      <c r="C22" s="237"/>
      <c r="D22" s="237"/>
      <c r="E22" s="237"/>
      <c r="F22" s="237"/>
      <c r="G22" s="237"/>
      <c r="H22" s="237"/>
      <c r="I22" s="237"/>
      <c r="J22" s="237"/>
      <c r="K22" s="239"/>
      <c r="L22" s="237"/>
      <c r="M22" s="237"/>
      <c r="N22" s="237"/>
      <c r="O22" s="237"/>
      <c r="P22" s="239"/>
      <c r="Q22" s="237"/>
      <c r="R22" s="248"/>
      <c r="S22" s="240"/>
      <c r="T22" s="226"/>
      <c r="U22" s="226"/>
      <c r="V22" s="226"/>
      <c r="W22" s="226"/>
      <c r="X22" s="226"/>
      <c r="Y22" s="226"/>
      <c r="Z22" s="226"/>
    </row>
    <row r="23" spans="1:26" s="241" customFormat="1">
      <c r="A23" s="242"/>
      <c r="B23" s="243"/>
      <c r="C23" s="243"/>
      <c r="D23" s="243"/>
      <c r="E23" s="243"/>
      <c r="F23" s="243"/>
      <c r="G23" s="243"/>
      <c r="H23" s="243"/>
      <c r="I23" s="243"/>
      <c r="J23" s="243"/>
      <c r="K23" s="245"/>
      <c r="L23" s="243"/>
      <c r="M23" s="243"/>
      <c r="N23" s="243"/>
      <c r="O23" s="243"/>
      <c r="P23" s="245"/>
      <c r="Q23" s="243"/>
      <c r="R23" s="249"/>
      <c r="S23" s="246"/>
      <c r="T23" s="226"/>
      <c r="U23" s="226"/>
      <c r="V23" s="226"/>
      <c r="W23" s="226"/>
      <c r="X23" s="226"/>
      <c r="Y23" s="226"/>
      <c r="Z23" s="226"/>
    </row>
    <row r="24" spans="1:26" s="241" customFormat="1">
      <c r="A24" s="242"/>
      <c r="B24" s="237"/>
      <c r="C24" s="237"/>
      <c r="D24" s="237"/>
      <c r="E24" s="237"/>
      <c r="F24" s="237"/>
      <c r="G24" s="237"/>
      <c r="H24" s="237"/>
      <c r="I24" s="237"/>
      <c r="J24" s="237"/>
      <c r="K24" s="239"/>
      <c r="L24" s="237"/>
      <c r="M24" s="237"/>
      <c r="N24" s="237"/>
      <c r="O24" s="237"/>
      <c r="P24" s="239"/>
      <c r="Q24" s="237"/>
      <c r="R24" s="248"/>
      <c r="S24" s="240"/>
      <c r="T24" s="226"/>
      <c r="U24" s="226"/>
      <c r="V24" s="226"/>
      <c r="W24" s="226"/>
      <c r="X24" s="226"/>
      <c r="Y24" s="226"/>
      <c r="Z24" s="226"/>
    </row>
    <row r="25" spans="1:26" s="241" customFormat="1">
      <c r="A25" s="242"/>
      <c r="B25" s="243"/>
      <c r="C25" s="243"/>
      <c r="D25" s="243"/>
      <c r="E25" s="243"/>
      <c r="F25" s="243"/>
      <c r="G25" s="243"/>
      <c r="H25" s="243"/>
      <c r="I25" s="243"/>
      <c r="J25" s="243"/>
      <c r="K25" s="245"/>
      <c r="L25" s="243"/>
      <c r="M25" s="243"/>
      <c r="N25" s="243"/>
      <c r="O25" s="243"/>
      <c r="P25" s="245"/>
      <c r="Q25" s="243"/>
      <c r="R25" s="249"/>
      <c r="S25" s="246"/>
      <c r="T25" s="226"/>
      <c r="U25" s="226"/>
      <c r="V25" s="226"/>
      <c r="W25" s="226"/>
      <c r="X25" s="226"/>
      <c r="Y25" s="226"/>
      <c r="Z25" s="226"/>
    </row>
    <row r="26" spans="1:26" s="241" customFormat="1">
      <c r="A26" s="242"/>
      <c r="B26" s="237"/>
      <c r="C26" s="237"/>
      <c r="D26" s="237"/>
      <c r="E26" s="237"/>
      <c r="F26" s="237"/>
      <c r="G26" s="237"/>
      <c r="H26" s="237"/>
      <c r="I26" s="237"/>
      <c r="J26" s="237"/>
      <c r="K26" s="239"/>
      <c r="L26" s="237"/>
      <c r="M26" s="237"/>
      <c r="N26" s="237"/>
      <c r="O26" s="237"/>
      <c r="P26" s="239"/>
      <c r="Q26" s="237"/>
      <c r="R26" s="248"/>
      <c r="S26" s="240"/>
      <c r="T26" s="226"/>
      <c r="U26" s="226"/>
      <c r="V26" s="226"/>
      <c r="W26" s="226"/>
      <c r="X26" s="226"/>
      <c r="Y26" s="226"/>
      <c r="Z26" s="226"/>
    </row>
    <row r="27" spans="1:26" s="241" customFormat="1">
      <c r="A27" s="242"/>
      <c r="B27" s="243"/>
      <c r="C27" s="243"/>
      <c r="D27" s="243"/>
      <c r="E27" s="243"/>
      <c r="F27" s="243"/>
      <c r="G27" s="243"/>
      <c r="H27" s="243"/>
      <c r="I27" s="243"/>
      <c r="J27" s="243"/>
      <c r="K27" s="245"/>
      <c r="L27" s="243"/>
      <c r="M27" s="243"/>
      <c r="N27" s="243"/>
      <c r="O27" s="243"/>
      <c r="P27" s="245"/>
      <c r="Q27" s="243"/>
      <c r="R27" s="249"/>
      <c r="S27" s="246"/>
      <c r="T27" s="226"/>
      <c r="U27" s="226"/>
      <c r="V27" s="226"/>
      <c r="W27" s="226"/>
      <c r="X27" s="226"/>
      <c r="Y27" s="226"/>
      <c r="Z27" s="226"/>
    </row>
    <row r="28" spans="1:26" s="241" customFormat="1">
      <c r="A28" s="242"/>
      <c r="B28" s="237"/>
      <c r="C28" s="237"/>
      <c r="D28" s="237"/>
      <c r="E28" s="237"/>
      <c r="F28" s="237"/>
      <c r="G28" s="237"/>
      <c r="H28" s="237"/>
      <c r="I28" s="237"/>
      <c r="J28" s="237"/>
      <c r="K28" s="239"/>
      <c r="L28" s="237"/>
      <c r="M28" s="237"/>
      <c r="N28" s="237"/>
      <c r="O28" s="237"/>
      <c r="P28" s="239"/>
      <c r="Q28" s="237"/>
      <c r="R28" s="248"/>
      <c r="S28" s="240"/>
      <c r="T28" s="226"/>
      <c r="U28" s="226"/>
      <c r="V28" s="226"/>
      <c r="W28" s="226"/>
      <c r="X28" s="226"/>
      <c r="Y28" s="226"/>
      <c r="Z28" s="226"/>
    </row>
    <row r="29" spans="1:26" s="241" customFormat="1">
      <c r="A29" s="247"/>
      <c r="B29" s="243"/>
      <c r="C29" s="243"/>
      <c r="D29" s="243"/>
      <c r="E29" s="243"/>
      <c r="F29" s="243"/>
      <c r="G29" s="243"/>
      <c r="H29" s="243"/>
      <c r="I29" s="243"/>
      <c r="J29" s="243"/>
      <c r="K29" s="245"/>
      <c r="L29" s="243"/>
      <c r="M29" s="243"/>
      <c r="N29" s="243"/>
      <c r="O29" s="243"/>
      <c r="P29" s="245"/>
      <c r="Q29" s="243"/>
      <c r="R29" s="249"/>
      <c r="S29" s="246"/>
      <c r="T29" s="226"/>
      <c r="U29" s="226"/>
      <c r="V29" s="226"/>
      <c r="W29" s="226"/>
      <c r="X29" s="226"/>
      <c r="Y29" s="226"/>
      <c r="Z29" s="226"/>
    </row>
    <row r="30" spans="1:26" s="241" customFormat="1">
      <c r="A30" s="236"/>
      <c r="B30" s="237"/>
      <c r="C30" s="237"/>
      <c r="D30" s="237"/>
      <c r="E30" s="237"/>
      <c r="F30" s="237"/>
      <c r="G30" s="237"/>
      <c r="H30" s="237"/>
      <c r="I30" s="237"/>
      <c r="J30" s="237"/>
      <c r="K30" s="239"/>
      <c r="L30" s="237"/>
      <c r="M30" s="237"/>
      <c r="N30" s="237"/>
      <c r="O30" s="237"/>
      <c r="P30" s="239"/>
      <c r="Q30" s="237"/>
      <c r="R30" s="248"/>
      <c r="S30" s="240"/>
      <c r="T30" s="226"/>
      <c r="U30" s="226"/>
      <c r="V30" s="226"/>
      <c r="W30" s="226"/>
      <c r="X30" s="226"/>
      <c r="Y30" s="226"/>
      <c r="Z30" s="226"/>
    </row>
    <row r="31" spans="1:26" s="241" customFormat="1">
      <c r="A31" s="242"/>
      <c r="B31" s="243"/>
      <c r="C31" s="243"/>
      <c r="D31" s="243"/>
      <c r="E31" s="243"/>
      <c r="F31" s="243"/>
      <c r="G31" s="243"/>
      <c r="H31" s="243"/>
      <c r="I31" s="243"/>
      <c r="J31" s="243"/>
      <c r="K31" s="245"/>
      <c r="L31" s="243"/>
      <c r="M31" s="243"/>
      <c r="N31" s="243"/>
      <c r="O31" s="243"/>
      <c r="P31" s="245"/>
      <c r="Q31" s="243"/>
      <c r="R31" s="249"/>
      <c r="S31" s="246"/>
      <c r="T31" s="226"/>
      <c r="U31" s="226"/>
      <c r="V31" s="226"/>
      <c r="W31" s="226"/>
      <c r="X31" s="226"/>
      <c r="Y31" s="226"/>
      <c r="Z31" s="226"/>
    </row>
    <row r="32" spans="1:26" s="241" customFormat="1">
      <c r="A32" s="242"/>
      <c r="B32" s="237"/>
      <c r="C32" s="237"/>
      <c r="D32" s="237"/>
      <c r="E32" s="237"/>
      <c r="F32" s="237"/>
      <c r="G32" s="237"/>
      <c r="H32" s="237"/>
      <c r="I32" s="237"/>
      <c r="J32" s="237"/>
      <c r="K32" s="239"/>
      <c r="L32" s="237"/>
      <c r="M32" s="237"/>
      <c r="N32" s="237"/>
      <c r="O32" s="237"/>
      <c r="P32" s="239"/>
      <c r="Q32" s="237"/>
      <c r="R32" s="248"/>
      <c r="S32" s="240"/>
      <c r="T32" s="226"/>
      <c r="U32" s="226"/>
      <c r="V32" s="226"/>
      <c r="W32" s="226"/>
      <c r="X32" s="226"/>
      <c r="Y32" s="226"/>
      <c r="Z32" s="226"/>
    </row>
    <row r="33" spans="1:26" s="241" customFormat="1">
      <c r="A33" s="242"/>
      <c r="B33" s="243"/>
      <c r="C33" s="243"/>
      <c r="D33" s="243"/>
      <c r="E33" s="243"/>
      <c r="F33" s="243"/>
      <c r="G33" s="243"/>
      <c r="H33" s="243"/>
      <c r="I33" s="243"/>
      <c r="J33" s="243"/>
      <c r="K33" s="245"/>
      <c r="L33" s="243"/>
      <c r="M33" s="243"/>
      <c r="N33" s="243"/>
      <c r="O33" s="243"/>
      <c r="P33" s="245"/>
      <c r="Q33" s="243"/>
      <c r="R33" s="249"/>
      <c r="S33" s="246"/>
      <c r="T33" s="226"/>
      <c r="U33" s="226"/>
      <c r="V33" s="226"/>
      <c r="W33" s="226"/>
      <c r="X33" s="226"/>
      <c r="Y33" s="226"/>
      <c r="Z33" s="226"/>
    </row>
    <row r="34" spans="1:26" s="241" customFormat="1">
      <c r="A34" s="242"/>
      <c r="B34" s="237"/>
      <c r="C34" s="237"/>
      <c r="D34" s="237"/>
      <c r="E34" s="237"/>
      <c r="F34" s="237"/>
      <c r="G34" s="237"/>
      <c r="H34" s="237"/>
      <c r="I34" s="237"/>
      <c r="J34" s="237"/>
      <c r="K34" s="239"/>
      <c r="L34" s="237"/>
      <c r="M34" s="237"/>
      <c r="N34" s="237"/>
      <c r="O34" s="237"/>
      <c r="P34" s="239"/>
      <c r="Q34" s="237"/>
      <c r="R34" s="248"/>
      <c r="S34" s="240"/>
      <c r="T34" s="226"/>
      <c r="U34" s="226"/>
      <c r="V34" s="226"/>
      <c r="W34" s="226"/>
      <c r="X34" s="226"/>
      <c r="Y34" s="226"/>
      <c r="Z34" s="226"/>
    </row>
    <row r="35" spans="1:26" s="241" customFormat="1">
      <c r="A35" s="242"/>
      <c r="B35" s="243"/>
      <c r="C35" s="243"/>
      <c r="D35" s="243"/>
      <c r="E35" s="243"/>
      <c r="F35" s="243"/>
      <c r="G35" s="243"/>
      <c r="H35" s="243"/>
      <c r="I35" s="243"/>
      <c r="J35" s="243"/>
      <c r="K35" s="245"/>
      <c r="L35" s="243"/>
      <c r="M35" s="243"/>
      <c r="N35" s="243"/>
      <c r="O35" s="243"/>
      <c r="P35" s="245"/>
      <c r="Q35" s="243"/>
      <c r="R35" s="249"/>
      <c r="S35" s="246"/>
      <c r="T35" s="226"/>
      <c r="U35" s="226"/>
      <c r="V35" s="226"/>
      <c r="W35" s="226"/>
      <c r="X35" s="226"/>
      <c r="Y35" s="226"/>
      <c r="Z35" s="226"/>
    </row>
    <row r="36" spans="1:26" s="241" customFormat="1">
      <c r="A36" s="242"/>
      <c r="B36" s="237"/>
      <c r="C36" s="237"/>
      <c r="D36" s="237"/>
      <c r="E36" s="237"/>
      <c r="F36" s="237"/>
      <c r="G36" s="237"/>
      <c r="H36" s="237"/>
      <c r="I36" s="237"/>
      <c r="J36" s="237"/>
      <c r="K36" s="239"/>
      <c r="L36" s="237"/>
      <c r="M36" s="237"/>
      <c r="N36" s="237"/>
      <c r="O36" s="237"/>
      <c r="P36" s="239"/>
      <c r="Q36" s="237"/>
      <c r="R36" s="248"/>
      <c r="S36" s="240"/>
      <c r="T36" s="226"/>
      <c r="U36" s="226"/>
      <c r="V36" s="226"/>
      <c r="W36" s="226"/>
      <c r="X36" s="226"/>
      <c r="Y36" s="226"/>
      <c r="Z36" s="226"/>
    </row>
    <row r="37" spans="1:26" s="241" customFormat="1">
      <c r="A37" s="247"/>
      <c r="B37" s="243"/>
      <c r="C37" s="243"/>
      <c r="D37" s="243"/>
      <c r="E37" s="243"/>
      <c r="F37" s="243"/>
      <c r="G37" s="243"/>
      <c r="H37" s="243"/>
      <c r="I37" s="243"/>
      <c r="J37" s="243"/>
      <c r="K37" s="245"/>
      <c r="L37" s="243"/>
      <c r="M37" s="243"/>
      <c r="N37" s="243"/>
      <c r="O37" s="243"/>
      <c r="P37" s="245"/>
      <c r="Q37" s="243"/>
      <c r="R37" s="249"/>
      <c r="S37" s="246"/>
      <c r="T37" s="226"/>
      <c r="U37" s="226"/>
      <c r="V37" s="226"/>
      <c r="W37" s="226"/>
      <c r="X37" s="226"/>
      <c r="Y37" s="226"/>
      <c r="Z37" s="226"/>
    </row>
    <row r="38" spans="1:26" s="241" customFormat="1">
      <c r="A38" s="236"/>
      <c r="B38" s="237"/>
      <c r="C38" s="237"/>
      <c r="D38" s="237"/>
      <c r="E38" s="237"/>
      <c r="F38" s="237"/>
      <c r="G38" s="237"/>
      <c r="H38" s="237"/>
      <c r="I38" s="237"/>
      <c r="J38" s="237"/>
      <c r="K38" s="239"/>
      <c r="L38" s="237"/>
      <c r="M38" s="237"/>
      <c r="N38" s="237"/>
      <c r="O38" s="237"/>
      <c r="P38" s="239"/>
      <c r="Q38" s="237"/>
      <c r="R38" s="248"/>
      <c r="S38" s="240"/>
      <c r="T38" s="226"/>
      <c r="U38" s="226"/>
      <c r="V38" s="226"/>
      <c r="W38" s="226"/>
      <c r="X38" s="226"/>
      <c r="Y38" s="226"/>
      <c r="Z38" s="226"/>
    </row>
    <row r="39" spans="1:26" s="241" customFormat="1">
      <c r="A39" s="242"/>
      <c r="B39" s="243"/>
      <c r="C39" s="243"/>
      <c r="D39" s="243"/>
      <c r="E39" s="243"/>
      <c r="F39" s="243"/>
      <c r="G39" s="243"/>
      <c r="H39" s="243"/>
      <c r="I39" s="243"/>
      <c r="J39" s="243"/>
      <c r="K39" s="245"/>
      <c r="L39" s="243"/>
      <c r="M39" s="243"/>
      <c r="N39" s="243"/>
      <c r="O39" s="243"/>
      <c r="P39" s="245"/>
      <c r="Q39" s="243"/>
      <c r="R39" s="249"/>
      <c r="S39" s="246"/>
      <c r="T39" s="226"/>
      <c r="U39" s="226"/>
      <c r="V39" s="226"/>
      <c r="W39" s="226"/>
      <c r="X39" s="226"/>
      <c r="Y39" s="226"/>
      <c r="Z39" s="226"/>
    </row>
    <row r="40" spans="1:26" s="241" customFormat="1">
      <c r="A40" s="242"/>
      <c r="B40" s="237"/>
      <c r="C40" s="237"/>
      <c r="D40" s="237"/>
      <c r="E40" s="237"/>
      <c r="F40" s="237"/>
      <c r="G40" s="237"/>
      <c r="H40" s="237"/>
      <c r="I40" s="237"/>
      <c r="J40" s="237"/>
      <c r="K40" s="239"/>
      <c r="L40" s="237"/>
      <c r="M40" s="237"/>
      <c r="N40" s="237"/>
      <c r="O40" s="237"/>
      <c r="P40" s="239"/>
      <c r="Q40" s="237"/>
      <c r="R40" s="248"/>
      <c r="S40" s="240"/>
      <c r="T40" s="226"/>
      <c r="U40" s="226"/>
      <c r="V40" s="226"/>
      <c r="W40" s="226"/>
      <c r="X40" s="226"/>
      <c r="Y40" s="226"/>
      <c r="Z40" s="226"/>
    </row>
    <row r="41" spans="1:26" s="241" customFormat="1">
      <c r="A41" s="242"/>
      <c r="B41" s="243"/>
      <c r="C41" s="243"/>
      <c r="D41" s="243"/>
      <c r="E41" s="243"/>
      <c r="F41" s="243"/>
      <c r="G41" s="243"/>
      <c r="H41" s="243"/>
      <c r="I41" s="243"/>
      <c r="J41" s="243"/>
      <c r="K41" s="245"/>
      <c r="L41" s="243"/>
      <c r="M41" s="243"/>
      <c r="N41" s="243"/>
      <c r="O41" s="243"/>
      <c r="P41" s="245"/>
      <c r="Q41" s="243"/>
      <c r="R41" s="249"/>
      <c r="S41" s="246"/>
      <c r="T41" s="226"/>
      <c r="U41" s="226"/>
      <c r="V41" s="226"/>
      <c r="W41" s="226"/>
      <c r="X41" s="226"/>
      <c r="Y41" s="226"/>
      <c r="Z41" s="226"/>
    </row>
    <row r="42" spans="1:26" s="241" customFormat="1">
      <c r="A42" s="242"/>
      <c r="B42" s="237"/>
      <c r="C42" s="237"/>
      <c r="D42" s="237"/>
      <c r="E42" s="237"/>
      <c r="F42" s="237"/>
      <c r="G42" s="237"/>
      <c r="H42" s="237"/>
      <c r="I42" s="237"/>
      <c r="J42" s="237"/>
      <c r="K42" s="239"/>
      <c r="L42" s="237"/>
      <c r="M42" s="237"/>
      <c r="N42" s="237"/>
      <c r="O42" s="237"/>
      <c r="P42" s="239"/>
      <c r="Q42" s="237"/>
      <c r="R42" s="248"/>
      <c r="S42" s="240"/>
      <c r="T42" s="226"/>
      <c r="U42" s="226"/>
      <c r="V42" s="226"/>
      <c r="W42" s="226"/>
      <c r="X42" s="226"/>
      <c r="Y42" s="226"/>
      <c r="Z42" s="226"/>
    </row>
    <row r="43" spans="1:26" s="241" customFormat="1">
      <c r="A43" s="242"/>
      <c r="B43" s="243"/>
      <c r="C43" s="243"/>
      <c r="D43" s="243"/>
      <c r="E43" s="243"/>
      <c r="F43" s="243"/>
      <c r="G43" s="243"/>
      <c r="H43" s="243"/>
      <c r="I43" s="243"/>
      <c r="J43" s="243"/>
      <c r="K43" s="245"/>
      <c r="L43" s="243"/>
      <c r="M43" s="243"/>
      <c r="N43" s="243"/>
      <c r="O43" s="243"/>
      <c r="P43" s="245"/>
      <c r="Q43" s="243"/>
      <c r="R43" s="249"/>
      <c r="S43" s="246"/>
      <c r="T43" s="226"/>
      <c r="U43" s="226"/>
      <c r="V43" s="226"/>
      <c r="W43" s="226"/>
      <c r="X43" s="226"/>
      <c r="Y43" s="226"/>
      <c r="Z43" s="226"/>
    </row>
    <row r="44" spans="1:26" s="241" customFormat="1">
      <c r="A44" s="242"/>
      <c r="B44" s="237"/>
      <c r="C44" s="237"/>
      <c r="D44" s="237"/>
      <c r="E44" s="237"/>
      <c r="F44" s="237"/>
      <c r="G44" s="237"/>
      <c r="H44" s="237"/>
      <c r="I44" s="237"/>
      <c r="J44" s="237"/>
      <c r="K44" s="239"/>
      <c r="L44" s="237"/>
      <c r="M44" s="237"/>
      <c r="N44" s="237"/>
      <c r="O44" s="237"/>
      <c r="P44" s="239"/>
      <c r="Q44" s="237"/>
      <c r="R44" s="248"/>
      <c r="S44" s="240"/>
      <c r="T44" s="226"/>
      <c r="U44" s="226"/>
      <c r="V44" s="226"/>
      <c r="W44" s="226"/>
      <c r="X44" s="226"/>
      <c r="Y44" s="226"/>
      <c r="Z44" s="226"/>
    </row>
    <row r="45" spans="1:26" s="241" customFormat="1">
      <c r="A45" s="247"/>
      <c r="B45" s="243"/>
      <c r="C45" s="243"/>
      <c r="D45" s="243"/>
      <c r="E45" s="243"/>
      <c r="F45" s="243"/>
      <c r="G45" s="243"/>
      <c r="H45" s="243"/>
      <c r="I45" s="243"/>
      <c r="J45" s="243"/>
      <c r="K45" s="245"/>
      <c r="L45" s="243"/>
      <c r="M45" s="243"/>
      <c r="N45" s="243"/>
      <c r="O45" s="243"/>
      <c r="P45" s="245"/>
      <c r="Q45" s="243"/>
      <c r="R45" s="249"/>
      <c r="S45" s="246"/>
      <c r="T45" s="226"/>
      <c r="U45" s="226"/>
      <c r="V45" s="226"/>
      <c r="W45" s="226"/>
      <c r="X45" s="226"/>
      <c r="Y45" s="226"/>
      <c r="Z45" s="226"/>
    </row>
    <row r="46" spans="1:26" s="241" customFormat="1">
      <c r="A46" s="236"/>
      <c r="B46" s="237"/>
      <c r="C46" s="237"/>
      <c r="D46" s="237"/>
      <c r="E46" s="237"/>
      <c r="F46" s="237"/>
      <c r="G46" s="237"/>
      <c r="H46" s="237"/>
      <c r="I46" s="237"/>
      <c r="J46" s="237"/>
      <c r="K46" s="239"/>
      <c r="L46" s="237"/>
      <c r="M46" s="237"/>
      <c r="N46" s="237"/>
      <c r="O46" s="237"/>
      <c r="P46" s="239"/>
      <c r="Q46" s="237"/>
      <c r="R46" s="248"/>
      <c r="S46" s="240"/>
      <c r="T46" s="226"/>
      <c r="U46" s="226"/>
      <c r="V46" s="226"/>
      <c r="W46" s="226"/>
      <c r="X46" s="226"/>
      <c r="Y46" s="226"/>
      <c r="Z46" s="226"/>
    </row>
    <row r="47" spans="1:26" s="241" customFormat="1">
      <c r="A47" s="242"/>
      <c r="B47" s="243"/>
      <c r="C47" s="243"/>
      <c r="D47" s="243"/>
      <c r="E47" s="243"/>
      <c r="F47" s="243"/>
      <c r="G47" s="243"/>
      <c r="H47" s="243"/>
      <c r="I47" s="243"/>
      <c r="J47" s="243"/>
      <c r="K47" s="245"/>
      <c r="L47" s="243"/>
      <c r="M47" s="243"/>
      <c r="N47" s="243"/>
      <c r="O47" s="243"/>
      <c r="P47" s="245"/>
      <c r="Q47" s="243"/>
      <c r="R47" s="249"/>
      <c r="S47" s="246"/>
      <c r="T47" s="226"/>
      <c r="U47" s="226"/>
      <c r="V47" s="226"/>
      <c r="W47" s="226"/>
      <c r="X47" s="226"/>
      <c r="Y47" s="226"/>
      <c r="Z47" s="226"/>
    </row>
    <row r="48" spans="1:26" s="241" customFormat="1">
      <c r="A48" s="242"/>
      <c r="B48" s="237"/>
      <c r="C48" s="237"/>
      <c r="D48" s="237"/>
      <c r="E48" s="237"/>
      <c r="F48" s="237"/>
      <c r="G48" s="237"/>
      <c r="H48" s="237"/>
      <c r="I48" s="237"/>
      <c r="J48" s="237"/>
      <c r="K48" s="239"/>
      <c r="L48" s="237"/>
      <c r="M48" s="237"/>
      <c r="N48" s="237"/>
      <c r="O48" s="237"/>
      <c r="P48" s="239"/>
      <c r="Q48" s="237"/>
      <c r="R48" s="248"/>
      <c r="S48" s="240"/>
      <c r="T48" s="226"/>
      <c r="U48" s="226"/>
      <c r="V48" s="226"/>
      <c r="W48" s="226"/>
      <c r="X48" s="226"/>
      <c r="Y48" s="226"/>
      <c r="Z48" s="226"/>
    </row>
    <row r="49" spans="1:26" s="241" customFormat="1">
      <c r="A49" s="242"/>
      <c r="B49" s="243"/>
      <c r="C49" s="243"/>
      <c r="D49" s="243"/>
      <c r="E49" s="243"/>
      <c r="F49" s="243"/>
      <c r="G49" s="243"/>
      <c r="H49" s="243"/>
      <c r="I49" s="243"/>
      <c r="J49" s="243"/>
      <c r="K49" s="245"/>
      <c r="L49" s="243"/>
      <c r="M49" s="243"/>
      <c r="N49" s="243"/>
      <c r="O49" s="243"/>
      <c r="P49" s="245"/>
      <c r="Q49" s="243"/>
      <c r="R49" s="249"/>
      <c r="S49" s="246"/>
      <c r="T49" s="226"/>
      <c r="U49" s="226"/>
      <c r="V49" s="226"/>
      <c r="W49" s="226"/>
      <c r="X49" s="226"/>
      <c r="Y49" s="226"/>
      <c r="Z49" s="226"/>
    </row>
    <row r="50" spans="1:26" s="241" customFormat="1">
      <c r="A50" s="242"/>
      <c r="B50" s="237"/>
      <c r="C50" s="237"/>
      <c r="D50" s="237"/>
      <c r="E50" s="237"/>
      <c r="F50" s="237"/>
      <c r="G50" s="237"/>
      <c r="H50" s="237"/>
      <c r="I50" s="237"/>
      <c r="J50" s="237"/>
      <c r="K50" s="239"/>
      <c r="L50" s="237"/>
      <c r="M50" s="237"/>
      <c r="N50" s="237"/>
      <c r="O50" s="237"/>
      <c r="P50" s="239"/>
      <c r="Q50" s="237"/>
      <c r="R50" s="248"/>
      <c r="S50" s="240"/>
      <c r="T50" s="226"/>
      <c r="U50" s="226"/>
      <c r="V50" s="226"/>
      <c r="W50" s="226"/>
      <c r="X50" s="226"/>
      <c r="Y50" s="226"/>
      <c r="Z50" s="226"/>
    </row>
    <row r="51" spans="1:26" s="241" customFormat="1">
      <c r="A51" s="242"/>
      <c r="B51" s="243"/>
      <c r="C51" s="243"/>
      <c r="D51" s="243"/>
      <c r="E51" s="243"/>
      <c r="F51" s="243"/>
      <c r="G51" s="243"/>
      <c r="H51" s="243"/>
      <c r="I51" s="243"/>
      <c r="J51" s="243"/>
      <c r="K51" s="245"/>
      <c r="L51" s="243"/>
      <c r="M51" s="243"/>
      <c r="N51" s="243"/>
      <c r="O51" s="243"/>
      <c r="P51" s="245"/>
      <c r="Q51" s="243"/>
      <c r="R51" s="249"/>
      <c r="S51" s="246"/>
      <c r="T51" s="226"/>
      <c r="U51" s="226"/>
      <c r="V51" s="226"/>
      <c r="W51" s="226"/>
      <c r="X51" s="226"/>
      <c r="Y51" s="226"/>
      <c r="Z51" s="226"/>
    </row>
    <row r="52" spans="1:26" s="241" customFormat="1">
      <c r="A52" s="242"/>
      <c r="B52" s="237"/>
      <c r="C52" s="237"/>
      <c r="D52" s="237"/>
      <c r="E52" s="237"/>
      <c r="F52" s="237"/>
      <c r="G52" s="237"/>
      <c r="H52" s="237"/>
      <c r="I52" s="237"/>
      <c r="J52" s="237"/>
      <c r="K52" s="239"/>
      <c r="L52" s="237"/>
      <c r="M52" s="237"/>
      <c r="N52" s="237"/>
      <c r="O52" s="237"/>
      <c r="P52" s="239"/>
      <c r="Q52" s="237"/>
      <c r="R52" s="248"/>
      <c r="S52" s="240"/>
      <c r="T52" s="226"/>
      <c r="U52" s="226"/>
      <c r="V52" s="226"/>
      <c r="W52" s="226"/>
      <c r="X52" s="226"/>
      <c r="Y52" s="226"/>
      <c r="Z52" s="226"/>
    </row>
    <row r="53" spans="1:26" s="241" customFormat="1">
      <c r="A53" s="247"/>
      <c r="B53" s="243"/>
      <c r="C53" s="243"/>
      <c r="D53" s="243"/>
      <c r="E53" s="243"/>
      <c r="F53" s="243"/>
      <c r="G53" s="243"/>
      <c r="H53" s="243"/>
      <c r="I53" s="243"/>
      <c r="J53" s="243"/>
      <c r="K53" s="245"/>
      <c r="L53" s="243"/>
      <c r="M53" s="243"/>
      <c r="N53" s="243"/>
      <c r="O53" s="243"/>
      <c r="P53" s="245"/>
      <c r="Q53" s="243"/>
      <c r="R53" s="249"/>
      <c r="S53" s="246"/>
      <c r="T53" s="226"/>
      <c r="U53" s="226"/>
      <c r="V53" s="226"/>
      <c r="W53" s="226"/>
      <c r="X53" s="226"/>
      <c r="Y53" s="226"/>
      <c r="Z53" s="226"/>
    </row>
    <row r="54" spans="1:26" s="241" customFormat="1">
      <c r="A54" s="236"/>
      <c r="B54" s="237"/>
      <c r="C54" s="237"/>
      <c r="D54" s="237"/>
      <c r="E54" s="237"/>
      <c r="F54" s="237"/>
      <c r="G54" s="237"/>
      <c r="H54" s="237"/>
      <c r="I54" s="237"/>
      <c r="J54" s="237"/>
      <c r="K54" s="239"/>
      <c r="L54" s="237"/>
      <c r="M54" s="237"/>
      <c r="N54" s="237"/>
      <c r="O54" s="237"/>
      <c r="P54" s="239"/>
      <c r="Q54" s="237"/>
      <c r="R54" s="248"/>
      <c r="S54" s="240"/>
      <c r="T54" s="226"/>
      <c r="U54" s="226"/>
      <c r="V54" s="226"/>
      <c r="W54" s="226"/>
      <c r="X54" s="226"/>
      <c r="Y54" s="226"/>
      <c r="Z54" s="226"/>
    </row>
    <row r="55" spans="1:26" s="241" customFormat="1">
      <c r="A55" s="242"/>
      <c r="B55" s="243"/>
      <c r="C55" s="243"/>
      <c r="D55" s="243"/>
      <c r="E55" s="243"/>
      <c r="F55" s="243"/>
      <c r="G55" s="243"/>
      <c r="H55" s="243"/>
      <c r="I55" s="243"/>
      <c r="J55" s="243"/>
      <c r="K55" s="245"/>
      <c r="L55" s="243"/>
      <c r="M55" s="243"/>
      <c r="N55" s="243"/>
      <c r="O55" s="243"/>
      <c r="P55" s="245"/>
      <c r="Q55" s="243"/>
      <c r="R55" s="249"/>
      <c r="S55" s="246"/>
      <c r="T55" s="226"/>
      <c r="U55" s="226"/>
      <c r="V55" s="226"/>
      <c r="W55" s="226"/>
      <c r="X55" s="226"/>
      <c r="Y55" s="226"/>
      <c r="Z55" s="226"/>
    </row>
    <row r="56" spans="1:26" s="241" customFormat="1">
      <c r="A56" s="242"/>
      <c r="B56" s="237"/>
      <c r="C56" s="237"/>
      <c r="D56" s="237"/>
      <c r="E56" s="237"/>
      <c r="F56" s="237"/>
      <c r="G56" s="237"/>
      <c r="H56" s="237"/>
      <c r="I56" s="237"/>
      <c r="J56" s="237"/>
      <c r="K56" s="239"/>
      <c r="L56" s="237"/>
      <c r="M56" s="237"/>
      <c r="N56" s="237"/>
      <c r="O56" s="237"/>
      <c r="P56" s="239"/>
      <c r="Q56" s="237"/>
      <c r="R56" s="248"/>
      <c r="S56" s="240"/>
      <c r="T56" s="226"/>
      <c r="U56" s="226"/>
      <c r="V56" s="226"/>
      <c r="W56" s="226"/>
      <c r="X56" s="226"/>
      <c r="Y56" s="226"/>
      <c r="Z56" s="226"/>
    </row>
    <row r="57" spans="1:26" s="241" customFormat="1">
      <c r="A57" s="242"/>
      <c r="B57" s="243"/>
      <c r="C57" s="243"/>
      <c r="D57" s="243"/>
      <c r="E57" s="243"/>
      <c r="F57" s="243"/>
      <c r="G57" s="243"/>
      <c r="H57" s="243"/>
      <c r="I57" s="243"/>
      <c r="J57" s="243"/>
      <c r="K57" s="245"/>
      <c r="L57" s="243"/>
      <c r="M57" s="243"/>
      <c r="N57" s="243"/>
      <c r="O57" s="243"/>
      <c r="P57" s="245"/>
      <c r="Q57" s="243"/>
      <c r="R57" s="249"/>
      <c r="S57" s="246"/>
      <c r="T57" s="226"/>
      <c r="U57" s="226"/>
      <c r="V57" s="226"/>
      <c r="W57" s="226"/>
      <c r="X57" s="226"/>
      <c r="Y57" s="226"/>
      <c r="Z57" s="226"/>
    </row>
    <row r="58" spans="1:26" s="241" customFormat="1">
      <c r="A58" s="242"/>
      <c r="B58" s="237"/>
      <c r="C58" s="237"/>
      <c r="D58" s="237"/>
      <c r="E58" s="237"/>
      <c r="F58" s="237"/>
      <c r="G58" s="237"/>
      <c r="H58" s="237"/>
      <c r="I58" s="237"/>
      <c r="J58" s="237"/>
      <c r="K58" s="239"/>
      <c r="L58" s="237"/>
      <c r="M58" s="237"/>
      <c r="N58" s="237"/>
      <c r="O58" s="237"/>
      <c r="P58" s="239"/>
      <c r="Q58" s="237"/>
      <c r="R58" s="248"/>
      <c r="S58" s="240"/>
      <c r="T58" s="226"/>
      <c r="U58" s="226"/>
      <c r="V58" s="226"/>
      <c r="W58" s="226"/>
      <c r="X58" s="226"/>
      <c r="Y58" s="226"/>
      <c r="Z58" s="226"/>
    </row>
    <row r="59" spans="1:26" s="241" customFormat="1">
      <c r="A59" s="242"/>
      <c r="B59" s="243"/>
      <c r="C59" s="243"/>
      <c r="D59" s="243"/>
      <c r="E59" s="243"/>
      <c r="F59" s="243"/>
      <c r="G59" s="243"/>
      <c r="H59" s="243"/>
      <c r="I59" s="243"/>
      <c r="J59" s="243"/>
      <c r="K59" s="245"/>
      <c r="L59" s="243"/>
      <c r="M59" s="243"/>
      <c r="N59" s="243"/>
      <c r="O59" s="243"/>
      <c r="P59" s="245"/>
      <c r="Q59" s="243"/>
      <c r="R59" s="249"/>
      <c r="S59" s="246"/>
      <c r="T59" s="226"/>
      <c r="U59" s="226"/>
      <c r="V59" s="226"/>
      <c r="W59" s="226"/>
      <c r="X59" s="226"/>
      <c r="Y59" s="226"/>
      <c r="Z59" s="226"/>
    </row>
    <row r="60" spans="1:26" s="241" customFormat="1">
      <c r="A60" s="242"/>
      <c r="B60" s="237"/>
      <c r="C60" s="237"/>
      <c r="D60" s="237"/>
      <c r="E60" s="237"/>
      <c r="F60" s="237"/>
      <c r="G60" s="237"/>
      <c r="H60" s="237"/>
      <c r="I60" s="237"/>
      <c r="J60" s="237"/>
      <c r="K60" s="239"/>
      <c r="L60" s="237"/>
      <c r="M60" s="237"/>
      <c r="N60" s="237"/>
      <c r="O60" s="237"/>
      <c r="P60" s="239"/>
      <c r="Q60" s="237"/>
      <c r="R60" s="248"/>
      <c r="S60" s="240"/>
      <c r="T60" s="226"/>
      <c r="U60" s="226"/>
      <c r="V60" s="226"/>
      <c r="W60" s="226"/>
      <c r="X60" s="226"/>
      <c r="Y60" s="226"/>
      <c r="Z60" s="226"/>
    </row>
    <row r="61" spans="1:26" s="241" customFormat="1">
      <c r="A61" s="247"/>
      <c r="B61" s="243"/>
      <c r="C61" s="243"/>
      <c r="D61" s="243"/>
      <c r="E61" s="243"/>
      <c r="F61" s="243"/>
      <c r="G61" s="243"/>
      <c r="H61" s="243"/>
      <c r="I61" s="243"/>
      <c r="J61" s="243"/>
      <c r="K61" s="245"/>
      <c r="L61" s="243"/>
      <c r="M61" s="243"/>
      <c r="N61" s="243"/>
      <c r="O61" s="243"/>
      <c r="P61" s="245"/>
      <c r="Q61" s="243"/>
      <c r="R61" s="249"/>
      <c r="S61" s="246"/>
      <c r="T61" s="226"/>
      <c r="U61" s="226"/>
      <c r="V61" s="226"/>
      <c r="W61" s="226"/>
      <c r="X61" s="226"/>
      <c r="Y61" s="226"/>
      <c r="Z61" s="226"/>
    </row>
    <row r="62" spans="1:26" s="241" customFormat="1">
      <c r="A62" s="236"/>
      <c r="B62" s="237"/>
      <c r="C62" s="237"/>
      <c r="D62" s="237"/>
      <c r="E62" s="237"/>
      <c r="F62" s="237"/>
      <c r="G62" s="237"/>
      <c r="H62" s="237"/>
      <c r="I62" s="237"/>
      <c r="J62" s="237"/>
      <c r="K62" s="239"/>
      <c r="L62" s="237"/>
      <c r="M62" s="237"/>
      <c r="N62" s="237"/>
      <c r="O62" s="237"/>
      <c r="P62" s="239"/>
      <c r="Q62" s="237"/>
      <c r="R62" s="248"/>
      <c r="S62" s="240"/>
      <c r="T62" s="226"/>
      <c r="U62" s="226"/>
      <c r="V62" s="226"/>
      <c r="W62" s="226"/>
      <c r="X62" s="226"/>
      <c r="Y62" s="226"/>
      <c r="Z62" s="226"/>
    </row>
    <row r="63" spans="1:26" s="241" customFormat="1">
      <c r="A63" s="242"/>
      <c r="B63" s="243"/>
      <c r="C63" s="243"/>
      <c r="D63" s="243"/>
      <c r="E63" s="243"/>
      <c r="F63" s="243"/>
      <c r="G63" s="243"/>
      <c r="H63" s="243"/>
      <c r="I63" s="243"/>
      <c r="J63" s="243"/>
      <c r="K63" s="245"/>
      <c r="L63" s="243"/>
      <c r="M63" s="243"/>
      <c r="N63" s="243"/>
      <c r="O63" s="243"/>
      <c r="P63" s="245"/>
      <c r="Q63" s="243"/>
      <c r="R63" s="249"/>
      <c r="S63" s="246"/>
      <c r="T63" s="226"/>
      <c r="U63" s="226"/>
      <c r="V63" s="226"/>
      <c r="W63" s="226"/>
      <c r="X63" s="226"/>
      <c r="Y63" s="226"/>
      <c r="Z63" s="226"/>
    </row>
    <row r="64" spans="1:26" s="241" customFormat="1">
      <c r="A64" s="242"/>
      <c r="B64" s="237"/>
      <c r="C64" s="237"/>
      <c r="D64" s="237"/>
      <c r="E64" s="237"/>
      <c r="F64" s="237"/>
      <c r="G64" s="237"/>
      <c r="H64" s="237"/>
      <c r="I64" s="237"/>
      <c r="J64" s="237"/>
      <c r="K64" s="239"/>
      <c r="L64" s="237"/>
      <c r="M64" s="237"/>
      <c r="N64" s="237"/>
      <c r="O64" s="237"/>
      <c r="P64" s="239"/>
      <c r="Q64" s="237"/>
      <c r="R64" s="248"/>
      <c r="S64" s="240"/>
      <c r="T64" s="226"/>
      <c r="U64" s="226"/>
      <c r="V64" s="226"/>
      <c r="W64" s="226"/>
      <c r="X64" s="226"/>
      <c r="Y64" s="226"/>
      <c r="Z64" s="226"/>
    </row>
    <row r="65" spans="1:26" s="241" customFormat="1">
      <c r="A65" s="242"/>
      <c r="B65" s="243"/>
      <c r="C65" s="243"/>
      <c r="D65" s="243"/>
      <c r="E65" s="243"/>
      <c r="F65" s="243"/>
      <c r="G65" s="243"/>
      <c r="H65" s="243"/>
      <c r="I65" s="243"/>
      <c r="J65" s="243"/>
      <c r="K65" s="245"/>
      <c r="L65" s="243"/>
      <c r="M65" s="243"/>
      <c r="N65" s="243"/>
      <c r="O65" s="243"/>
      <c r="P65" s="245"/>
      <c r="Q65" s="243"/>
      <c r="R65" s="249"/>
      <c r="S65" s="246"/>
      <c r="T65" s="226"/>
      <c r="U65" s="226"/>
      <c r="V65" s="226"/>
      <c r="W65" s="226"/>
      <c r="X65" s="226"/>
      <c r="Y65" s="226"/>
      <c r="Z65" s="226"/>
    </row>
    <row r="66" spans="1:26" s="241" customFormat="1">
      <c r="A66" s="242"/>
      <c r="B66" s="237"/>
      <c r="C66" s="237"/>
      <c r="D66" s="237"/>
      <c r="E66" s="237"/>
      <c r="F66" s="237"/>
      <c r="G66" s="237"/>
      <c r="H66" s="237"/>
      <c r="I66" s="237"/>
      <c r="J66" s="237"/>
      <c r="K66" s="239"/>
      <c r="L66" s="237"/>
      <c r="M66" s="237"/>
      <c r="N66" s="237"/>
      <c r="O66" s="237"/>
      <c r="P66" s="239"/>
      <c r="Q66" s="237"/>
      <c r="R66" s="248"/>
      <c r="S66" s="240"/>
      <c r="T66" s="226"/>
      <c r="U66" s="226"/>
      <c r="V66" s="226"/>
      <c r="W66" s="226"/>
      <c r="X66" s="226"/>
      <c r="Y66" s="226"/>
      <c r="Z66" s="226"/>
    </row>
    <row r="67" spans="1:26" s="241" customFormat="1">
      <c r="A67" s="242"/>
      <c r="B67" s="243"/>
      <c r="C67" s="243"/>
      <c r="D67" s="243"/>
      <c r="E67" s="243"/>
      <c r="F67" s="243"/>
      <c r="G67" s="243"/>
      <c r="H67" s="243"/>
      <c r="I67" s="243"/>
      <c r="J67" s="243"/>
      <c r="K67" s="245"/>
      <c r="L67" s="243"/>
      <c r="M67" s="243"/>
      <c r="N67" s="243"/>
      <c r="O67" s="243"/>
      <c r="P67" s="245"/>
      <c r="Q67" s="243"/>
      <c r="R67" s="249"/>
      <c r="S67" s="246"/>
      <c r="T67" s="226"/>
      <c r="U67" s="226"/>
      <c r="V67" s="226"/>
      <c r="W67" s="226"/>
      <c r="X67" s="226"/>
      <c r="Y67" s="226"/>
      <c r="Z67" s="226"/>
    </row>
    <row r="68" spans="1:26" s="241" customFormat="1">
      <c r="A68" s="242"/>
      <c r="B68" s="237"/>
      <c r="C68" s="237"/>
      <c r="D68" s="237"/>
      <c r="E68" s="237"/>
      <c r="F68" s="237"/>
      <c r="G68" s="237"/>
      <c r="H68" s="237"/>
      <c r="I68" s="237"/>
      <c r="J68" s="237"/>
      <c r="K68" s="239"/>
      <c r="L68" s="237"/>
      <c r="M68" s="237"/>
      <c r="N68" s="237"/>
      <c r="O68" s="237"/>
      <c r="P68" s="239"/>
      <c r="Q68" s="237"/>
      <c r="R68" s="248"/>
      <c r="S68" s="240"/>
      <c r="T68" s="226"/>
      <c r="U68" s="226"/>
      <c r="V68" s="226"/>
      <c r="W68" s="226"/>
      <c r="X68" s="226"/>
      <c r="Y68" s="226"/>
      <c r="Z68" s="226"/>
    </row>
    <row r="69" spans="1:26" s="241" customFormat="1">
      <c r="A69" s="247"/>
      <c r="B69" s="243"/>
      <c r="C69" s="243"/>
      <c r="D69" s="243"/>
      <c r="E69" s="243"/>
      <c r="F69" s="243"/>
      <c r="G69" s="243"/>
      <c r="H69" s="243"/>
      <c r="I69" s="243"/>
      <c r="J69" s="243"/>
      <c r="K69" s="245"/>
      <c r="L69" s="243"/>
      <c r="M69" s="243"/>
      <c r="N69" s="243"/>
      <c r="O69" s="243"/>
      <c r="P69" s="245"/>
      <c r="Q69" s="243"/>
      <c r="R69" s="249"/>
      <c r="S69" s="246"/>
      <c r="T69" s="226"/>
      <c r="U69" s="226"/>
      <c r="V69" s="226"/>
      <c r="W69" s="226"/>
      <c r="X69" s="226"/>
      <c r="Y69" s="226"/>
      <c r="Z69" s="226"/>
    </row>
    <row r="70" spans="1:26" s="241" customFormat="1">
      <c r="A70" s="236"/>
      <c r="B70" s="237"/>
      <c r="C70" s="237"/>
      <c r="D70" s="237"/>
      <c r="E70" s="237"/>
      <c r="F70" s="237"/>
      <c r="G70" s="237"/>
      <c r="H70" s="237"/>
      <c r="I70" s="237"/>
      <c r="J70" s="237"/>
      <c r="K70" s="239"/>
      <c r="L70" s="237"/>
      <c r="M70" s="237"/>
      <c r="N70" s="237"/>
      <c r="O70" s="237"/>
      <c r="P70" s="239"/>
      <c r="Q70" s="237"/>
      <c r="R70" s="248"/>
      <c r="S70" s="240"/>
      <c r="T70" s="226"/>
      <c r="U70" s="226"/>
      <c r="V70" s="226"/>
      <c r="W70" s="226"/>
      <c r="X70" s="226"/>
      <c r="Y70" s="226"/>
      <c r="Z70" s="226"/>
    </row>
    <row r="71" spans="1:26" s="241" customFormat="1">
      <c r="A71" s="242"/>
      <c r="B71" s="243"/>
      <c r="C71" s="243"/>
      <c r="D71" s="243"/>
      <c r="E71" s="243"/>
      <c r="F71" s="243"/>
      <c r="G71" s="243"/>
      <c r="H71" s="243"/>
      <c r="I71" s="243"/>
      <c r="J71" s="243"/>
      <c r="K71" s="245"/>
      <c r="L71" s="243"/>
      <c r="M71" s="243"/>
      <c r="N71" s="243"/>
      <c r="O71" s="243"/>
      <c r="P71" s="245"/>
      <c r="Q71" s="243"/>
      <c r="R71" s="249"/>
      <c r="S71" s="246"/>
      <c r="T71" s="226"/>
      <c r="U71" s="226"/>
      <c r="V71" s="226"/>
      <c r="W71" s="226"/>
      <c r="X71" s="226"/>
      <c r="Y71" s="226"/>
      <c r="Z71" s="226"/>
    </row>
    <row r="72" spans="1:26" s="241" customFormat="1">
      <c r="A72" s="242"/>
      <c r="B72" s="237"/>
      <c r="C72" s="237"/>
      <c r="D72" s="237"/>
      <c r="E72" s="237"/>
      <c r="F72" s="237"/>
      <c r="G72" s="237"/>
      <c r="H72" s="237"/>
      <c r="I72" s="237"/>
      <c r="J72" s="237"/>
      <c r="K72" s="239"/>
      <c r="L72" s="237"/>
      <c r="M72" s="237"/>
      <c r="N72" s="237"/>
      <c r="O72" s="237"/>
      <c r="P72" s="239"/>
      <c r="Q72" s="237"/>
      <c r="R72" s="248"/>
      <c r="S72" s="240"/>
      <c r="T72" s="226"/>
      <c r="U72" s="226"/>
      <c r="V72" s="226"/>
      <c r="W72" s="226"/>
      <c r="X72" s="226"/>
      <c r="Y72" s="226"/>
      <c r="Z72" s="226"/>
    </row>
    <row r="73" spans="1:26" s="241" customFormat="1">
      <c r="A73" s="242"/>
      <c r="B73" s="243"/>
      <c r="C73" s="243"/>
      <c r="D73" s="243"/>
      <c r="E73" s="243"/>
      <c r="F73" s="243"/>
      <c r="G73" s="243"/>
      <c r="H73" s="243"/>
      <c r="I73" s="243"/>
      <c r="J73" s="243"/>
      <c r="K73" s="245"/>
      <c r="L73" s="243"/>
      <c r="M73" s="243"/>
      <c r="N73" s="243"/>
      <c r="O73" s="243"/>
      <c r="P73" s="245"/>
      <c r="Q73" s="243"/>
      <c r="R73" s="249"/>
      <c r="S73" s="246"/>
      <c r="T73" s="226"/>
      <c r="U73" s="226"/>
      <c r="V73" s="226"/>
      <c r="W73" s="226"/>
      <c r="X73" s="226"/>
      <c r="Y73" s="226"/>
      <c r="Z73" s="226"/>
    </row>
    <row r="74" spans="1:26" s="241" customFormat="1">
      <c r="A74" s="242"/>
      <c r="B74" s="237"/>
      <c r="C74" s="237"/>
      <c r="D74" s="237"/>
      <c r="E74" s="237"/>
      <c r="F74" s="237"/>
      <c r="G74" s="237"/>
      <c r="H74" s="237"/>
      <c r="I74" s="237"/>
      <c r="J74" s="237"/>
      <c r="K74" s="239"/>
      <c r="L74" s="237"/>
      <c r="M74" s="237"/>
      <c r="N74" s="237"/>
      <c r="O74" s="237"/>
      <c r="P74" s="239"/>
      <c r="Q74" s="237"/>
      <c r="R74" s="248"/>
      <c r="S74" s="240"/>
      <c r="T74" s="226"/>
      <c r="U74" s="226"/>
      <c r="V74" s="226"/>
      <c r="W74" s="226"/>
      <c r="X74" s="226"/>
      <c r="Y74" s="226"/>
      <c r="Z74" s="226"/>
    </row>
    <row r="75" spans="1:26" s="241" customFormat="1">
      <c r="A75" s="242"/>
      <c r="B75" s="243"/>
      <c r="C75" s="243"/>
      <c r="D75" s="243"/>
      <c r="E75" s="243"/>
      <c r="F75" s="243"/>
      <c r="G75" s="243"/>
      <c r="H75" s="243"/>
      <c r="I75" s="243"/>
      <c r="J75" s="243"/>
      <c r="K75" s="245"/>
      <c r="L75" s="243"/>
      <c r="M75" s="243"/>
      <c r="N75" s="243"/>
      <c r="O75" s="243"/>
      <c r="P75" s="245"/>
      <c r="Q75" s="243"/>
      <c r="R75" s="249"/>
      <c r="S75" s="246"/>
      <c r="T75" s="226"/>
      <c r="U75" s="226"/>
      <c r="V75" s="226"/>
      <c r="W75" s="226"/>
      <c r="X75" s="226"/>
      <c r="Y75" s="226"/>
      <c r="Z75" s="226"/>
    </row>
    <row r="76" spans="1:26" s="241" customFormat="1">
      <c r="A76" s="242"/>
      <c r="B76" s="237"/>
      <c r="C76" s="237"/>
      <c r="D76" s="237"/>
      <c r="E76" s="237"/>
      <c r="F76" s="237"/>
      <c r="G76" s="237"/>
      <c r="H76" s="237"/>
      <c r="I76" s="237"/>
      <c r="J76" s="237"/>
      <c r="K76" s="239"/>
      <c r="L76" s="237"/>
      <c r="M76" s="237"/>
      <c r="N76" s="237"/>
      <c r="O76" s="237"/>
      <c r="P76" s="239"/>
      <c r="Q76" s="237"/>
      <c r="R76" s="248"/>
      <c r="S76" s="240"/>
      <c r="T76" s="226"/>
      <c r="U76" s="226"/>
      <c r="V76" s="226"/>
      <c r="W76" s="226"/>
      <c r="X76" s="226"/>
      <c r="Y76" s="226"/>
      <c r="Z76" s="226"/>
    </row>
    <row r="77" spans="1:26" s="241" customFormat="1">
      <c r="A77" s="247"/>
      <c r="B77" s="243"/>
      <c r="C77" s="243"/>
      <c r="D77" s="243"/>
      <c r="E77" s="243"/>
      <c r="F77" s="243"/>
      <c r="G77" s="243"/>
      <c r="H77" s="243"/>
      <c r="I77" s="243"/>
      <c r="J77" s="243"/>
      <c r="K77" s="245"/>
      <c r="L77" s="243"/>
      <c r="M77" s="243"/>
      <c r="N77" s="243"/>
      <c r="O77" s="243"/>
      <c r="P77" s="245"/>
      <c r="Q77" s="243"/>
      <c r="R77" s="249"/>
      <c r="S77" s="246"/>
      <c r="T77" s="226"/>
      <c r="U77" s="226"/>
      <c r="V77" s="226"/>
      <c r="W77" s="226"/>
      <c r="X77" s="226"/>
      <c r="Y77" s="226"/>
      <c r="Z77" s="226"/>
    </row>
    <row r="78" spans="1:26" s="241" customFormat="1">
      <c r="A78" s="236"/>
      <c r="B78" s="237"/>
      <c r="C78" s="237"/>
      <c r="D78" s="237"/>
      <c r="E78" s="237"/>
      <c r="F78" s="237"/>
      <c r="G78" s="237"/>
      <c r="H78" s="237"/>
      <c r="I78" s="237"/>
      <c r="J78" s="237"/>
      <c r="K78" s="239"/>
      <c r="L78" s="237"/>
      <c r="M78" s="237"/>
      <c r="N78" s="237"/>
      <c r="O78" s="237"/>
      <c r="P78" s="239"/>
      <c r="Q78" s="237"/>
      <c r="R78" s="248"/>
      <c r="S78" s="240"/>
      <c r="T78" s="226"/>
      <c r="U78" s="226"/>
      <c r="V78" s="226"/>
      <c r="W78" s="226"/>
      <c r="X78" s="226"/>
      <c r="Y78" s="226"/>
      <c r="Z78" s="226"/>
    </row>
    <row r="79" spans="1:26" s="241" customFormat="1">
      <c r="A79" s="242"/>
      <c r="B79" s="243"/>
      <c r="C79" s="243"/>
      <c r="D79" s="243"/>
      <c r="E79" s="243"/>
      <c r="F79" s="243"/>
      <c r="G79" s="243"/>
      <c r="H79" s="243"/>
      <c r="I79" s="243"/>
      <c r="J79" s="243"/>
      <c r="K79" s="245"/>
      <c r="L79" s="243"/>
      <c r="M79" s="243"/>
      <c r="N79" s="243"/>
      <c r="O79" s="243"/>
      <c r="P79" s="245"/>
      <c r="Q79" s="243"/>
      <c r="R79" s="249"/>
      <c r="S79" s="246"/>
      <c r="T79" s="226"/>
      <c r="U79" s="226"/>
      <c r="V79" s="226"/>
      <c r="W79" s="226"/>
      <c r="X79" s="226"/>
      <c r="Y79" s="226"/>
      <c r="Z79" s="226"/>
    </row>
    <row r="80" spans="1:26" s="241" customFormat="1">
      <c r="A80" s="242"/>
      <c r="B80" s="237"/>
      <c r="C80" s="237"/>
      <c r="D80" s="237"/>
      <c r="E80" s="237"/>
      <c r="F80" s="237"/>
      <c r="G80" s="237"/>
      <c r="H80" s="237"/>
      <c r="I80" s="237"/>
      <c r="J80" s="237"/>
      <c r="K80" s="239"/>
      <c r="L80" s="237"/>
      <c r="M80" s="237"/>
      <c r="N80" s="237"/>
      <c r="O80" s="237"/>
      <c r="P80" s="239"/>
      <c r="Q80" s="237"/>
      <c r="R80" s="248"/>
      <c r="S80" s="240"/>
      <c r="T80" s="226"/>
      <c r="U80" s="226"/>
      <c r="V80" s="226"/>
      <c r="W80" s="226"/>
      <c r="X80" s="226"/>
      <c r="Y80" s="226"/>
      <c r="Z80" s="226"/>
    </row>
    <row r="81" spans="1:26" s="241" customFormat="1">
      <c r="A81" s="242"/>
      <c r="B81" s="243"/>
      <c r="C81" s="243"/>
      <c r="D81" s="243"/>
      <c r="E81" s="243"/>
      <c r="F81" s="243"/>
      <c r="G81" s="243"/>
      <c r="H81" s="243"/>
      <c r="I81" s="243"/>
      <c r="J81" s="243"/>
      <c r="K81" s="245"/>
      <c r="L81" s="243"/>
      <c r="M81" s="243"/>
      <c r="N81" s="243"/>
      <c r="O81" s="243"/>
      <c r="P81" s="245"/>
      <c r="Q81" s="243"/>
      <c r="R81" s="249"/>
      <c r="S81" s="246"/>
      <c r="T81" s="226"/>
      <c r="U81" s="226"/>
      <c r="V81" s="226"/>
      <c r="W81" s="226"/>
      <c r="X81" s="226"/>
      <c r="Y81" s="226"/>
      <c r="Z81" s="226"/>
    </row>
    <row r="82" spans="1:26" s="241" customFormat="1">
      <c r="A82" s="242"/>
      <c r="B82" s="237"/>
      <c r="C82" s="237"/>
      <c r="D82" s="237"/>
      <c r="E82" s="237"/>
      <c r="F82" s="237"/>
      <c r="G82" s="237"/>
      <c r="H82" s="237"/>
      <c r="I82" s="237"/>
      <c r="J82" s="237"/>
      <c r="K82" s="239"/>
      <c r="L82" s="237"/>
      <c r="M82" s="237"/>
      <c r="N82" s="237"/>
      <c r="O82" s="237"/>
      <c r="P82" s="239"/>
      <c r="Q82" s="237"/>
      <c r="R82" s="248"/>
      <c r="S82" s="240"/>
      <c r="T82" s="226"/>
      <c r="U82" s="226"/>
      <c r="V82" s="226"/>
      <c r="W82" s="226"/>
      <c r="X82" s="226"/>
      <c r="Y82" s="226"/>
      <c r="Z82" s="226"/>
    </row>
    <row r="83" spans="1:26" s="241" customFormat="1">
      <c r="A83" s="242"/>
      <c r="B83" s="243"/>
      <c r="C83" s="243"/>
      <c r="D83" s="243"/>
      <c r="E83" s="243"/>
      <c r="F83" s="243"/>
      <c r="G83" s="243"/>
      <c r="H83" s="243"/>
      <c r="I83" s="243"/>
      <c r="J83" s="243"/>
      <c r="K83" s="245"/>
      <c r="L83" s="243"/>
      <c r="M83" s="243"/>
      <c r="N83" s="243"/>
      <c r="O83" s="243"/>
      <c r="P83" s="245"/>
      <c r="Q83" s="243"/>
      <c r="R83" s="249"/>
      <c r="S83" s="246"/>
      <c r="T83" s="226"/>
      <c r="U83" s="226"/>
      <c r="V83" s="226"/>
      <c r="W83" s="226"/>
      <c r="X83" s="226"/>
      <c r="Y83" s="226"/>
      <c r="Z83" s="226"/>
    </row>
    <row r="84" spans="1:26" s="241" customFormat="1">
      <c r="A84" s="242"/>
      <c r="B84" s="237"/>
      <c r="C84" s="237"/>
      <c r="D84" s="237"/>
      <c r="E84" s="237"/>
      <c r="F84" s="237"/>
      <c r="G84" s="237"/>
      <c r="H84" s="237"/>
      <c r="I84" s="237"/>
      <c r="J84" s="237"/>
      <c r="K84" s="239"/>
      <c r="L84" s="237"/>
      <c r="M84" s="237"/>
      <c r="N84" s="237"/>
      <c r="O84" s="237"/>
      <c r="P84" s="239"/>
      <c r="Q84" s="237"/>
      <c r="R84" s="248"/>
      <c r="S84" s="240"/>
      <c r="T84" s="226"/>
      <c r="U84" s="226"/>
      <c r="V84" s="226"/>
      <c r="W84" s="226"/>
      <c r="X84" s="226"/>
      <c r="Y84" s="226"/>
      <c r="Z84" s="226"/>
    </row>
    <row r="85" spans="1:26" s="241" customFormat="1">
      <c r="A85" s="247"/>
      <c r="B85" s="243"/>
      <c r="C85" s="243"/>
      <c r="D85" s="243"/>
      <c r="E85" s="243"/>
      <c r="F85" s="243"/>
      <c r="G85" s="243"/>
      <c r="H85" s="243"/>
      <c r="I85" s="243"/>
      <c r="J85" s="243"/>
      <c r="K85" s="245"/>
      <c r="L85" s="243"/>
      <c r="M85" s="243"/>
      <c r="N85" s="243"/>
      <c r="O85" s="243"/>
      <c r="P85" s="245"/>
      <c r="Q85" s="243"/>
      <c r="R85" s="249"/>
      <c r="S85" s="246"/>
      <c r="T85" s="226"/>
      <c r="U85" s="226"/>
      <c r="V85" s="226"/>
      <c r="W85" s="226"/>
      <c r="X85" s="226"/>
      <c r="Y85" s="226"/>
      <c r="Z85" s="226"/>
    </row>
    <row r="86" spans="1:26" s="241" customFormat="1">
      <c r="A86" s="236"/>
      <c r="B86" s="237"/>
      <c r="C86" s="237"/>
      <c r="D86" s="237"/>
      <c r="E86" s="237"/>
      <c r="F86" s="237"/>
      <c r="G86" s="237"/>
      <c r="H86" s="237"/>
      <c r="I86" s="237"/>
      <c r="J86" s="237"/>
      <c r="K86" s="239"/>
      <c r="L86" s="237"/>
      <c r="M86" s="237"/>
      <c r="N86" s="237"/>
      <c r="O86" s="237"/>
      <c r="P86" s="239"/>
      <c r="Q86" s="237"/>
      <c r="R86" s="248"/>
      <c r="S86" s="240"/>
      <c r="T86" s="226"/>
      <c r="U86" s="226"/>
      <c r="V86" s="226"/>
      <c r="W86" s="226"/>
      <c r="X86" s="226"/>
      <c r="Y86" s="226"/>
      <c r="Z86" s="226"/>
    </row>
    <row r="87" spans="1:26" s="241" customFormat="1">
      <c r="A87" s="242"/>
      <c r="B87" s="243"/>
      <c r="C87" s="243"/>
      <c r="D87" s="243"/>
      <c r="E87" s="243"/>
      <c r="F87" s="243"/>
      <c r="G87" s="243"/>
      <c r="H87" s="243"/>
      <c r="I87" s="243"/>
      <c r="J87" s="243"/>
      <c r="K87" s="245"/>
      <c r="L87" s="243"/>
      <c r="M87" s="243"/>
      <c r="N87" s="243"/>
      <c r="O87" s="243"/>
      <c r="P87" s="245"/>
      <c r="Q87" s="243"/>
      <c r="R87" s="249"/>
      <c r="S87" s="246"/>
      <c r="T87" s="226"/>
      <c r="U87" s="226"/>
      <c r="V87" s="226"/>
      <c r="W87" s="226"/>
      <c r="X87" s="226"/>
      <c r="Y87" s="226"/>
      <c r="Z87" s="226"/>
    </row>
    <row r="88" spans="1:26" s="241" customFormat="1">
      <c r="A88" s="242"/>
      <c r="B88" s="237"/>
      <c r="C88" s="237"/>
      <c r="D88" s="237"/>
      <c r="E88" s="237"/>
      <c r="F88" s="237"/>
      <c r="G88" s="237"/>
      <c r="H88" s="237"/>
      <c r="I88" s="237"/>
      <c r="J88" s="237"/>
      <c r="K88" s="239"/>
      <c r="L88" s="237"/>
      <c r="M88" s="237"/>
      <c r="N88" s="237"/>
      <c r="O88" s="237"/>
      <c r="P88" s="239"/>
      <c r="Q88" s="237"/>
      <c r="R88" s="248"/>
      <c r="S88" s="240"/>
      <c r="T88" s="226"/>
      <c r="U88" s="226"/>
      <c r="V88" s="226"/>
      <c r="W88" s="226"/>
      <c r="X88" s="226"/>
      <c r="Y88" s="226"/>
      <c r="Z88" s="226"/>
    </row>
    <row r="89" spans="1:26" s="241" customFormat="1">
      <c r="A89" s="242"/>
      <c r="B89" s="243"/>
      <c r="C89" s="243"/>
      <c r="D89" s="243"/>
      <c r="E89" s="243"/>
      <c r="F89" s="243"/>
      <c r="G89" s="243"/>
      <c r="H89" s="243"/>
      <c r="I89" s="243"/>
      <c r="J89" s="243"/>
      <c r="K89" s="245"/>
      <c r="L89" s="243"/>
      <c r="M89" s="243"/>
      <c r="N89" s="243"/>
      <c r="O89" s="243"/>
      <c r="P89" s="245"/>
      <c r="Q89" s="243"/>
      <c r="R89" s="249"/>
      <c r="S89" s="246"/>
      <c r="T89" s="226"/>
      <c r="U89" s="226"/>
      <c r="V89" s="226"/>
      <c r="W89" s="226"/>
      <c r="X89" s="226"/>
      <c r="Y89" s="226"/>
      <c r="Z89" s="226"/>
    </row>
    <row r="90" spans="1:26" s="241" customFormat="1">
      <c r="A90" s="242"/>
      <c r="B90" s="237"/>
      <c r="C90" s="237"/>
      <c r="D90" s="237"/>
      <c r="E90" s="237"/>
      <c r="F90" s="237"/>
      <c r="G90" s="237"/>
      <c r="H90" s="237"/>
      <c r="I90" s="237"/>
      <c r="J90" s="237"/>
      <c r="K90" s="239"/>
      <c r="L90" s="237"/>
      <c r="M90" s="237"/>
      <c r="N90" s="237"/>
      <c r="O90" s="237"/>
      <c r="P90" s="239"/>
      <c r="Q90" s="237"/>
      <c r="R90" s="248"/>
      <c r="S90" s="240"/>
      <c r="T90" s="226"/>
      <c r="U90" s="226"/>
      <c r="V90" s="226"/>
      <c r="W90" s="226"/>
      <c r="X90" s="226"/>
      <c r="Y90" s="226"/>
      <c r="Z90" s="226"/>
    </row>
    <row r="91" spans="1:26" s="241" customFormat="1">
      <c r="A91" s="242"/>
      <c r="B91" s="243"/>
      <c r="C91" s="243"/>
      <c r="D91" s="243"/>
      <c r="E91" s="243"/>
      <c r="F91" s="243"/>
      <c r="G91" s="243"/>
      <c r="H91" s="243"/>
      <c r="I91" s="243"/>
      <c r="J91" s="243"/>
      <c r="K91" s="245"/>
      <c r="L91" s="243"/>
      <c r="M91" s="243"/>
      <c r="N91" s="243"/>
      <c r="O91" s="243"/>
      <c r="P91" s="245"/>
      <c r="Q91" s="243"/>
      <c r="R91" s="249"/>
      <c r="S91" s="246"/>
      <c r="T91" s="226"/>
      <c r="U91" s="226"/>
      <c r="V91" s="226"/>
      <c r="W91" s="226"/>
      <c r="X91" s="226"/>
      <c r="Y91" s="226"/>
      <c r="Z91" s="226"/>
    </row>
    <row r="92" spans="1:26" s="241" customFormat="1">
      <c r="A92" s="242"/>
      <c r="B92" s="237"/>
      <c r="C92" s="237"/>
      <c r="D92" s="237"/>
      <c r="E92" s="237"/>
      <c r="F92" s="237"/>
      <c r="G92" s="237"/>
      <c r="H92" s="237"/>
      <c r="I92" s="237"/>
      <c r="J92" s="237"/>
      <c r="K92" s="239"/>
      <c r="L92" s="237"/>
      <c r="M92" s="237"/>
      <c r="N92" s="237"/>
      <c r="O92" s="237"/>
      <c r="P92" s="239"/>
      <c r="Q92" s="237"/>
      <c r="R92" s="248"/>
      <c r="S92" s="240"/>
      <c r="T92" s="226"/>
      <c r="U92" s="226"/>
      <c r="V92" s="226"/>
      <c r="W92" s="226"/>
      <c r="X92" s="226"/>
      <c r="Y92" s="226"/>
      <c r="Z92" s="226"/>
    </row>
    <row r="93" spans="1:26" s="241" customFormat="1">
      <c r="A93" s="247"/>
      <c r="B93" s="243"/>
      <c r="C93" s="243"/>
      <c r="D93" s="243"/>
      <c r="E93" s="243"/>
      <c r="F93" s="243"/>
      <c r="G93" s="243"/>
      <c r="H93" s="243"/>
      <c r="I93" s="243"/>
      <c r="J93" s="243"/>
      <c r="K93" s="245"/>
      <c r="L93" s="243"/>
      <c r="M93" s="243"/>
      <c r="N93" s="243"/>
      <c r="O93" s="243"/>
      <c r="P93" s="245"/>
      <c r="Q93" s="243"/>
      <c r="R93" s="249"/>
      <c r="S93" s="246"/>
      <c r="T93" s="226"/>
      <c r="U93" s="226"/>
      <c r="V93" s="226"/>
      <c r="W93" s="226"/>
      <c r="X93" s="226"/>
      <c r="Y93" s="226"/>
      <c r="Z93" s="226"/>
    </row>
    <row r="94" spans="1:26" s="241" customFormat="1">
      <c r="A94" s="236"/>
      <c r="B94" s="237"/>
      <c r="C94" s="237"/>
      <c r="D94" s="237"/>
      <c r="E94" s="237"/>
      <c r="F94" s="237"/>
      <c r="G94" s="237"/>
      <c r="H94" s="237"/>
      <c r="I94" s="237"/>
      <c r="J94" s="237"/>
      <c r="K94" s="239"/>
      <c r="L94" s="237"/>
      <c r="M94" s="237"/>
      <c r="N94" s="237"/>
      <c r="O94" s="237"/>
      <c r="P94" s="239"/>
      <c r="Q94" s="237"/>
      <c r="R94" s="248"/>
      <c r="S94" s="240"/>
      <c r="T94" s="226"/>
      <c r="U94" s="226"/>
      <c r="V94" s="226"/>
      <c r="W94" s="226"/>
      <c r="X94" s="226"/>
      <c r="Y94" s="226"/>
      <c r="Z94" s="226"/>
    </row>
    <row r="95" spans="1:26" s="241" customFormat="1">
      <c r="A95" s="242"/>
      <c r="B95" s="243"/>
      <c r="C95" s="243"/>
      <c r="D95" s="243"/>
      <c r="E95" s="243"/>
      <c r="F95" s="243"/>
      <c r="G95" s="243"/>
      <c r="H95" s="243"/>
      <c r="I95" s="243"/>
      <c r="J95" s="243"/>
      <c r="K95" s="245"/>
      <c r="L95" s="243"/>
      <c r="M95" s="243"/>
      <c r="N95" s="243"/>
      <c r="O95" s="243"/>
      <c r="P95" s="245"/>
      <c r="Q95" s="243"/>
      <c r="R95" s="249"/>
      <c r="S95" s="246"/>
      <c r="T95" s="226"/>
      <c r="U95" s="226"/>
      <c r="V95" s="226"/>
      <c r="W95" s="226"/>
      <c r="X95" s="226"/>
      <c r="Y95" s="226"/>
      <c r="Z95" s="226"/>
    </row>
    <row r="96" spans="1:26" s="241" customFormat="1">
      <c r="A96" s="242"/>
      <c r="B96" s="237"/>
      <c r="C96" s="237"/>
      <c r="D96" s="237"/>
      <c r="E96" s="237"/>
      <c r="F96" s="237"/>
      <c r="G96" s="237"/>
      <c r="H96" s="237"/>
      <c r="I96" s="237"/>
      <c r="J96" s="237"/>
      <c r="K96" s="239"/>
      <c r="L96" s="237"/>
      <c r="M96" s="237"/>
      <c r="N96" s="237"/>
      <c r="O96" s="237"/>
      <c r="P96" s="239"/>
      <c r="Q96" s="237"/>
      <c r="R96" s="248"/>
      <c r="S96" s="240"/>
      <c r="T96" s="226"/>
      <c r="U96" s="226"/>
      <c r="V96" s="226"/>
      <c r="W96" s="226"/>
      <c r="X96" s="226"/>
      <c r="Y96" s="226"/>
      <c r="Z96" s="226"/>
    </row>
    <row r="97" spans="1:26" s="241" customFormat="1">
      <c r="A97" s="242"/>
      <c r="B97" s="243"/>
      <c r="C97" s="243"/>
      <c r="D97" s="243"/>
      <c r="E97" s="243"/>
      <c r="F97" s="243"/>
      <c r="G97" s="243"/>
      <c r="H97" s="243"/>
      <c r="I97" s="243"/>
      <c r="J97" s="243"/>
      <c r="K97" s="245"/>
      <c r="L97" s="243"/>
      <c r="M97" s="243"/>
      <c r="N97" s="243"/>
      <c r="O97" s="243"/>
      <c r="P97" s="245"/>
      <c r="Q97" s="243"/>
      <c r="R97" s="249"/>
      <c r="S97" s="246"/>
      <c r="T97" s="226"/>
      <c r="U97" s="226"/>
      <c r="V97" s="226"/>
      <c r="W97" s="226"/>
      <c r="X97" s="226"/>
      <c r="Y97" s="226"/>
      <c r="Z97" s="226"/>
    </row>
    <row r="98" spans="1:26" s="241" customFormat="1">
      <c r="A98" s="242"/>
      <c r="B98" s="237"/>
      <c r="C98" s="237"/>
      <c r="D98" s="237"/>
      <c r="E98" s="237"/>
      <c r="F98" s="237"/>
      <c r="G98" s="237"/>
      <c r="H98" s="237"/>
      <c r="I98" s="237"/>
      <c r="J98" s="237"/>
      <c r="K98" s="239"/>
      <c r="L98" s="237"/>
      <c r="M98" s="237"/>
      <c r="N98" s="237"/>
      <c r="O98" s="237"/>
      <c r="P98" s="239"/>
      <c r="Q98" s="237"/>
      <c r="R98" s="248"/>
      <c r="S98" s="240"/>
      <c r="T98" s="226"/>
      <c r="U98" s="226"/>
      <c r="V98" s="226"/>
      <c r="W98" s="226"/>
      <c r="X98" s="226"/>
      <c r="Y98" s="226"/>
      <c r="Z98" s="226"/>
    </row>
    <row r="99" spans="1:26" s="241" customFormat="1">
      <c r="A99" s="242"/>
      <c r="B99" s="243"/>
      <c r="C99" s="243"/>
      <c r="D99" s="243"/>
      <c r="E99" s="243"/>
      <c r="F99" s="243"/>
      <c r="G99" s="243"/>
      <c r="H99" s="243"/>
      <c r="I99" s="243"/>
      <c r="J99" s="243"/>
      <c r="K99" s="245"/>
      <c r="L99" s="243"/>
      <c r="M99" s="243"/>
      <c r="N99" s="243"/>
      <c r="O99" s="243"/>
      <c r="P99" s="245"/>
      <c r="Q99" s="243"/>
      <c r="R99" s="249"/>
      <c r="S99" s="246"/>
      <c r="T99" s="226"/>
      <c r="U99" s="226"/>
      <c r="V99" s="226"/>
      <c r="W99" s="226"/>
      <c r="X99" s="226"/>
      <c r="Y99" s="226"/>
      <c r="Z99" s="226"/>
    </row>
    <row r="100" spans="1:26" s="241" customFormat="1">
      <c r="A100" s="242"/>
      <c r="B100" s="237"/>
      <c r="C100" s="237"/>
      <c r="D100" s="237"/>
      <c r="E100" s="237"/>
      <c r="F100" s="237"/>
      <c r="G100" s="237"/>
      <c r="H100" s="237"/>
      <c r="I100" s="237"/>
      <c r="J100" s="237"/>
      <c r="K100" s="239"/>
      <c r="L100" s="237"/>
      <c r="M100" s="237"/>
      <c r="N100" s="237"/>
      <c r="O100" s="237"/>
      <c r="P100" s="239"/>
      <c r="Q100" s="237"/>
      <c r="R100" s="248"/>
      <c r="S100" s="240"/>
      <c r="T100" s="226"/>
      <c r="U100" s="226"/>
      <c r="V100" s="226"/>
      <c r="W100" s="226"/>
      <c r="X100" s="226"/>
      <c r="Y100" s="226"/>
      <c r="Z100" s="226"/>
    </row>
    <row r="101" spans="1:26" s="241" customFormat="1">
      <c r="A101" s="247"/>
      <c r="B101" s="243"/>
      <c r="C101" s="243"/>
      <c r="D101" s="243"/>
      <c r="E101" s="243"/>
      <c r="F101" s="243"/>
      <c r="G101" s="243"/>
      <c r="H101" s="243"/>
      <c r="I101" s="243"/>
      <c r="J101" s="243"/>
      <c r="K101" s="245"/>
      <c r="L101" s="243"/>
      <c r="M101" s="243"/>
      <c r="N101" s="243"/>
      <c r="O101" s="243"/>
      <c r="P101" s="245"/>
      <c r="Q101" s="243"/>
      <c r="R101" s="249"/>
      <c r="S101" s="246"/>
      <c r="T101" s="226"/>
      <c r="U101" s="226"/>
      <c r="V101" s="226"/>
      <c r="W101" s="226"/>
      <c r="X101" s="226"/>
      <c r="Y101" s="226"/>
      <c r="Z101" s="226"/>
    </row>
    <row r="102" spans="1:26" s="241" customFormat="1">
      <c r="A102" s="236"/>
      <c r="B102" s="237"/>
      <c r="C102" s="237"/>
      <c r="D102" s="237"/>
      <c r="E102" s="237"/>
      <c r="F102" s="237"/>
      <c r="G102" s="237"/>
      <c r="H102" s="237"/>
      <c r="I102" s="237"/>
      <c r="J102" s="237"/>
      <c r="K102" s="239"/>
      <c r="L102" s="237"/>
      <c r="M102" s="237"/>
      <c r="N102" s="237"/>
      <c r="O102" s="237"/>
      <c r="P102" s="239"/>
      <c r="Q102" s="237"/>
      <c r="R102" s="248"/>
      <c r="S102" s="240"/>
      <c r="T102" s="226"/>
      <c r="U102" s="226"/>
      <c r="V102" s="226"/>
      <c r="W102" s="226"/>
      <c r="X102" s="226"/>
      <c r="Y102" s="226"/>
      <c r="Z102" s="226"/>
    </row>
    <row r="103" spans="1:26" s="241" customFormat="1">
      <c r="A103" s="242"/>
      <c r="B103" s="243"/>
      <c r="C103" s="243"/>
      <c r="D103" s="243"/>
      <c r="E103" s="243"/>
      <c r="F103" s="243"/>
      <c r="G103" s="243"/>
      <c r="H103" s="243"/>
      <c r="I103" s="243"/>
      <c r="J103" s="243"/>
      <c r="K103" s="245"/>
      <c r="L103" s="243"/>
      <c r="M103" s="243"/>
      <c r="N103" s="243"/>
      <c r="O103" s="243"/>
      <c r="P103" s="245"/>
      <c r="Q103" s="243"/>
      <c r="R103" s="249"/>
      <c r="S103" s="246"/>
      <c r="T103" s="226"/>
      <c r="U103" s="226"/>
      <c r="V103" s="226"/>
      <c r="W103" s="226"/>
      <c r="X103" s="226"/>
      <c r="Y103" s="226"/>
      <c r="Z103" s="226"/>
    </row>
    <row r="104" spans="1:26" s="241" customFormat="1">
      <c r="A104" s="242"/>
      <c r="B104" s="237"/>
      <c r="C104" s="237"/>
      <c r="D104" s="237"/>
      <c r="E104" s="237"/>
      <c r="F104" s="237"/>
      <c r="G104" s="237"/>
      <c r="H104" s="237"/>
      <c r="I104" s="237"/>
      <c r="J104" s="237"/>
      <c r="K104" s="239"/>
      <c r="L104" s="237"/>
      <c r="M104" s="237"/>
      <c r="N104" s="237"/>
      <c r="O104" s="237"/>
      <c r="P104" s="239"/>
      <c r="Q104" s="237"/>
      <c r="R104" s="248"/>
      <c r="S104" s="240"/>
      <c r="T104" s="226"/>
      <c r="U104" s="226"/>
      <c r="V104" s="226"/>
      <c r="W104" s="226"/>
      <c r="X104" s="226"/>
      <c r="Y104" s="226"/>
      <c r="Z104" s="226"/>
    </row>
    <row r="105" spans="1:26" s="241" customFormat="1">
      <c r="A105" s="242"/>
      <c r="B105" s="243"/>
      <c r="C105" s="243"/>
      <c r="D105" s="243"/>
      <c r="E105" s="243"/>
      <c r="F105" s="243"/>
      <c r="G105" s="243"/>
      <c r="H105" s="243"/>
      <c r="I105" s="243"/>
      <c r="J105" s="243"/>
      <c r="K105" s="245"/>
      <c r="L105" s="243"/>
      <c r="M105" s="243"/>
      <c r="N105" s="243"/>
      <c r="O105" s="243"/>
      <c r="P105" s="245"/>
      <c r="Q105" s="243"/>
      <c r="R105" s="249"/>
      <c r="S105" s="246"/>
      <c r="T105" s="226"/>
      <c r="U105" s="226"/>
      <c r="V105" s="226"/>
      <c r="W105" s="226"/>
      <c r="X105" s="226"/>
      <c r="Y105" s="226"/>
      <c r="Z105" s="226"/>
    </row>
    <row r="106" spans="1:26" s="241" customFormat="1">
      <c r="A106" s="242"/>
      <c r="B106" s="237"/>
      <c r="C106" s="237"/>
      <c r="D106" s="237"/>
      <c r="E106" s="237"/>
      <c r="F106" s="237"/>
      <c r="G106" s="237"/>
      <c r="H106" s="237"/>
      <c r="I106" s="237"/>
      <c r="J106" s="237"/>
      <c r="K106" s="239"/>
      <c r="L106" s="237"/>
      <c r="M106" s="237"/>
      <c r="N106" s="237"/>
      <c r="O106" s="237"/>
      <c r="P106" s="239"/>
      <c r="Q106" s="237"/>
      <c r="R106" s="248"/>
      <c r="S106" s="240"/>
      <c r="T106" s="226"/>
      <c r="U106" s="226"/>
      <c r="V106" s="226"/>
      <c r="W106" s="226"/>
      <c r="X106" s="226"/>
      <c r="Y106" s="226"/>
      <c r="Z106" s="226"/>
    </row>
    <row r="107" spans="1:26" s="241" customFormat="1">
      <c r="A107" s="242"/>
      <c r="B107" s="243"/>
      <c r="C107" s="243"/>
      <c r="D107" s="243"/>
      <c r="E107" s="243"/>
      <c r="F107" s="243"/>
      <c r="G107" s="243"/>
      <c r="H107" s="243"/>
      <c r="I107" s="243"/>
      <c r="J107" s="243"/>
      <c r="K107" s="245"/>
      <c r="L107" s="243"/>
      <c r="M107" s="243"/>
      <c r="N107" s="243"/>
      <c r="O107" s="243"/>
      <c r="P107" s="245"/>
      <c r="Q107" s="243"/>
      <c r="R107" s="249"/>
      <c r="S107" s="246"/>
      <c r="T107" s="226"/>
      <c r="U107" s="226"/>
      <c r="V107" s="226"/>
      <c r="W107" s="226"/>
      <c r="X107" s="226"/>
      <c r="Y107" s="226"/>
      <c r="Z107" s="226"/>
    </row>
    <row r="108" spans="1:26" s="241" customFormat="1">
      <c r="A108" s="242"/>
      <c r="B108" s="237"/>
      <c r="C108" s="237"/>
      <c r="D108" s="237"/>
      <c r="E108" s="237"/>
      <c r="F108" s="237"/>
      <c r="G108" s="237"/>
      <c r="H108" s="237"/>
      <c r="I108" s="237"/>
      <c r="J108" s="237"/>
      <c r="K108" s="239"/>
      <c r="L108" s="237"/>
      <c r="M108" s="237"/>
      <c r="N108" s="237"/>
      <c r="O108" s="237"/>
      <c r="P108" s="239"/>
      <c r="Q108" s="237"/>
      <c r="R108" s="248"/>
      <c r="S108" s="240"/>
      <c r="T108" s="226"/>
      <c r="U108" s="226"/>
      <c r="V108" s="226"/>
      <c r="W108" s="226"/>
      <c r="X108" s="226"/>
      <c r="Y108" s="226"/>
      <c r="Z108" s="226"/>
    </row>
    <row r="109" spans="1:26" s="241" customFormat="1">
      <c r="A109" s="247"/>
      <c r="B109" s="243"/>
      <c r="C109" s="243"/>
      <c r="D109" s="243"/>
      <c r="E109" s="243"/>
      <c r="F109" s="243"/>
      <c r="G109" s="243"/>
      <c r="H109" s="243"/>
      <c r="I109" s="243"/>
      <c r="J109" s="243"/>
      <c r="K109" s="245"/>
      <c r="L109" s="243"/>
      <c r="M109" s="243"/>
      <c r="N109" s="243"/>
      <c r="O109" s="243"/>
      <c r="P109" s="245"/>
      <c r="Q109" s="243"/>
      <c r="R109" s="249"/>
      <c r="S109" s="246"/>
      <c r="T109" s="226"/>
      <c r="U109" s="226"/>
      <c r="V109" s="226"/>
      <c r="W109" s="226"/>
      <c r="X109" s="226"/>
      <c r="Y109" s="226"/>
      <c r="Z109" s="226"/>
    </row>
    <row r="110" spans="1:26" s="241" customFormat="1">
      <c r="A110" s="236"/>
      <c r="B110" s="237"/>
      <c r="C110" s="237"/>
      <c r="D110" s="237"/>
      <c r="E110" s="237"/>
      <c r="F110" s="237"/>
      <c r="G110" s="237"/>
      <c r="H110" s="237"/>
      <c r="I110" s="237"/>
      <c r="J110" s="237"/>
      <c r="K110" s="239"/>
      <c r="L110" s="237"/>
      <c r="M110" s="237"/>
      <c r="N110" s="237"/>
      <c r="O110" s="237"/>
      <c r="P110" s="239"/>
      <c r="Q110" s="237"/>
      <c r="R110" s="248"/>
      <c r="S110" s="240"/>
      <c r="T110" s="226"/>
      <c r="U110" s="226"/>
      <c r="V110" s="226"/>
      <c r="W110" s="226"/>
      <c r="X110" s="226"/>
      <c r="Y110" s="226"/>
      <c r="Z110" s="226"/>
    </row>
    <row r="111" spans="1:26" s="241" customFormat="1">
      <c r="A111" s="242"/>
      <c r="B111" s="243"/>
      <c r="C111" s="243"/>
      <c r="D111" s="243"/>
      <c r="E111" s="243"/>
      <c r="F111" s="243"/>
      <c r="G111" s="243"/>
      <c r="H111" s="243"/>
      <c r="I111" s="243"/>
      <c r="J111" s="243"/>
      <c r="K111" s="245"/>
      <c r="L111" s="243"/>
      <c r="M111" s="243"/>
      <c r="N111" s="243"/>
      <c r="O111" s="243"/>
      <c r="P111" s="245"/>
      <c r="Q111" s="243"/>
      <c r="R111" s="249"/>
      <c r="S111" s="246"/>
      <c r="T111" s="226"/>
      <c r="U111" s="226"/>
      <c r="V111" s="226"/>
      <c r="W111" s="226"/>
      <c r="X111" s="226"/>
      <c r="Y111" s="226"/>
      <c r="Z111" s="226"/>
    </row>
    <row r="112" spans="1:26" s="241" customFormat="1">
      <c r="A112" s="242"/>
      <c r="B112" s="237"/>
      <c r="C112" s="237"/>
      <c r="D112" s="237"/>
      <c r="E112" s="237"/>
      <c r="F112" s="237"/>
      <c r="G112" s="237"/>
      <c r="H112" s="237"/>
      <c r="I112" s="237"/>
      <c r="J112" s="237"/>
      <c r="K112" s="239"/>
      <c r="L112" s="237"/>
      <c r="M112" s="237"/>
      <c r="N112" s="237"/>
      <c r="O112" s="237"/>
      <c r="P112" s="239"/>
      <c r="Q112" s="237"/>
      <c r="R112" s="248"/>
      <c r="S112" s="240"/>
      <c r="T112" s="226"/>
      <c r="U112" s="226"/>
      <c r="V112" s="226"/>
      <c r="W112" s="226"/>
      <c r="X112" s="226"/>
      <c r="Y112" s="226"/>
      <c r="Z112" s="226"/>
    </row>
    <row r="113" spans="1:26" s="241" customFormat="1">
      <c r="A113" s="242"/>
      <c r="B113" s="243"/>
      <c r="C113" s="243"/>
      <c r="D113" s="243"/>
      <c r="E113" s="243"/>
      <c r="F113" s="243"/>
      <c r="G113" s="243"/>
      <c r="H113" s="243"/>
      <c r="I113" s="243"/>
      <c r="J113" s="243"/>
      <c r="K113" s="245"/>
      <c r="L113" s="243"/>
      <c r="M113" s="243"/>
      <c r="N113" s="243"/>
      <c r="O113" s="243"/>
      <c r="P113" s="245"/>
      <c r="Q113" s="243"/>
      <c r="R113" s="249"/>
      <c r="S113" s="246"/>
      <c r="T113" s="226"/>
      <c r="U113" s="226"/>
      <c r="V113" s="226"/>
      <c r="W113" s="226"/>
      <c r="X113" s="226"/>
      <c r="Y113" s="226"/>
      <c r="Z113" s="226"/>
    </row>
    <row r="114" spans="1:26" s="241" customFormat="1">
      <c r="A114" s="242"/>
      <c r="B114" s="237"/>
      <c r="C114" s="237"/>
      <c r="D114" s="237"/>
      <c r="E114" s="237"/>
      <c r="F114" s="237"/>
      <c r="G114" s="237"/>
      <c r="H114" s="237"/>
      <c r="I114" s="237"/>
      <c r="J114" s="237"/>
      <c r="K114" s="239"/>
      <c r="L114" s="237"/>
      <c r="M114" s="237"/>
      <c r="N114" s="237"/>
      <c r="O114" s="237"/>
      <c r="P114" s="239"/>
      <c r="Q114" s="237"/>
      <c r="R114" s="248"/>
      <c r="S114" s="240"/>
      <c r="T114" s="226"/>
      <c r="U114" s="226"/>
      <c r="V114" s="226"/>
      <c r="W114" s="226"/>
      <c r="X114" s="226"/>
      <c r="Y114" s="226"/>
      <c r="Z114" s="226"/>
    </row>
    <row r="115" spans="1:26" s="241" customFormat="1">
      <c r="A115" s="242"/>
      <c r="B115" s="243"/>
      <c r="C115" s="243"/>
      <c r="D115" s="243"/>
      <c r="E115" s="243"/>
      <c r="F115" s="243"/>
      <c r="G115" s="243"/>
      <c r="H115" s="243"/>
      <c r="I115" s="243"/>
      <c r="J115" s="243"/>
      <c r="K115" s="245"/>
      <c r="L115" s="243"/>
      <c r="M115" s="243"/>
      <c r="N115" s="243"/>
      <c r="O115" s="243"/>
      <c r="P115" s="245"/>
      <c r="Q115" s="243"/>
      <c r="R115" s="249"/>
      <c r="S115" s="246"/>
      <c r="T115" s="226"/>
      <c r="U115" s="226"/>
      <c r="V115" s="226"/>
      <c r="W115" s="226"/>
      <c r="X115" s="226"/>
      <c r="Y115" s="226"/>
      <c r="Z115" s="226"/>
    </row>
    <row r="116" spans="1:26" s="241" customFormat="1">
      <c r="A116" s="242"/>
      <c r="B116" s="237"/>
      <c r="C116" s="237"/>
      <c r="D116" s="237"/>
      <c r="E116" s="237"/>
      <c r="F116" s="237"/>
      <c r="G116" s="237"/>
      <c r="H116" s="237"/>
      <c r="I116" s="237"/>
      <c r="J116" s="237"/>
      <c r="K116" s="239"/>
      <c r="L116" s="237"/>
      <c r="M116" s="237"/>
      <c r="N116" s="237"/>
      <c r="O116" s="237"/>
      <c r="P116" s="239"/>
      <c r="Q116" s="237"/>
      <c r="R116" s="248"/>
      <c r="S116" s="240"/>
      <c r="T116" s="226"/>
      <c r="U116" s="226"/>
      <c r="V116" s="226"/>
      <c r="W116" s="226"/>
      <c r="X116" s="226"/>
      <c r="Y116" s="226"/>
      <c r="Z116" s="226"/>
    </row>
    <row r="117" spans="1:26" s="241" customFormat="1">
      <c r="A117" s="247"/>
      <c r="B117" s="243"/>
      <c r="C117" s="243"/>
      <c r="D117" s="243"/>
      <c r="E117" s="243"/>
      <c r="F117" s="243"/>
      <c r="G117" s="243"/>
      <c r="H117" s="243"/>
      <c r="I117" s="243"/>
      <c r="J117" s="243"/>
      <c r="K117" s="245"/>
      <c r="L117" s="243"/>
      <c r="M117" s="243"/>
      <c r="N117" s="243"/>
      <c r="O117" s="243"/>
      <c r="P117" s="245"/>
      <c r="Q117" s="243"/>
      <c r="R117" s="249"/>
      <c r="S117" s="246"/>
      <c r="T117" s="226"/>
      <c r="U117" s="226"/>
      <c r="V117" s="226"/>
      <c r="W117" s="226"/>
      <c r="X117" s="226"/>
      <c r="Y117" s="226"/>
      <c r="Z117" s="226"/>
    </row>
    <row r="118" spans="1:26" s="241" customFormat="1">
      <c r="A118" s="236"/>
      <c r="B118" s="237"/>
      <c r="C118" s="237"/>
      <c r="D118" s="237"/>
      <c r="E118" s="237"/>
      <c r="F118" s="237"/>
      <c r="G118" s="237"/>
      <c r="H118" s="237"/>
      <c r="I118" s="237"/>
      <c r="J118" s="237"/>
      <c r="K118" s="239"/>
      <c r="L118" s="237"/>
      <c r="M118" s="237"/>
      <c r="N118" s="237"/>
      <c r="O118" s="237"/>
      <c r="P118" s="239"/>
      <c r="Q118" s="237"/>
      <c r="R118" s="248"/>
      <c r="S118" s="240"/>
      <c r="T118" s="226"/>
      <c r="U118" s="226"/>
      <c r="V118" s="226"/>
      <c r="W118" s="226"/>
      <c r="X118" s="226"/>
      <c r="Y118" s="226"/>
      <c r="Z118" s="226"/>
    </row>
    <row r="119" spans="1:26" s="241" customFormat="1">
      <c r="A119" s="242"/>
      <c r="B119" s="243"/>
      <c r="C119" s="243"/>
      <c r="D119" s="243"/>
      <c r="E119" s="243"/>
      <c r="F119" s="243"/>
      <c r="G119" s="243"/>
      <c r="H119" s="243"/>
      <c r="I119" s="243"/>
      <c r="J119" s="243"/>
      <c r="K119" s="245"/>
      <c r="L119" s="243"/>
      <c r="M119" s="243"/>
      <c r="N119" s="243"/>
      <c r="O119" s="243"/>
      <c r="P119" s="245"/>
      <c r="Q119" s="243"/>
      <c r="R119" s="249"/>
      <c r="S119" s="246"/>
      <c r="T119" s="226"/>
      <c r="U119" s="226"/>
      <c r="V119" s="226"/>
      <c r="W119" s="226"/>
      <c r="X119" s="226"/>
      <c r="Y119" s="226"/>
      <c r="Z119" s="226"/>
    </row>
    <row r="120" spans="1:26" s="241" customFormat="1">
      <c r="A120" s="242"/>
      <c r="B120" s="237"/>
      <c r="C120" s="237"/>
      <c r="D120" s="237"/>
      <c r="E120" s="237"/>
      <c r="F120" s="237"/>
      <c r="G120" s="237"/>
      <c r="H120" s="237"/>
      <c r="I120" s="237"/>
      <c r="J120" s="237"/>
      <c r="K120" s="239"/>
      <c r="L120" s="237"/>
      <c r="M120" s="237"/>
      <c r="N120" s="237"/>
      <c r="O120" s="237"/>
      <c r="P120" s="239"/>
      <c r="Q120" s="237"/>
      <c r="R120" s="248"/>
      <c r="S120" s="240"/>
      <c r="T120" s="226"/>
      <c r="U120" s="226"/>
      <c r="V120" s="226"/>
      <c r="W120" s="226"/>
      <c r="X120" s="226"/>
      <c r="Y120" s="226"/>
      <c r="Z120" s="226"/>
    </row>
    <row r="121" spans="1:26" s="241" customFormat="1">
      <c r="A121" s="242"/>
      <c r="B121" s="243"/>
      <c r="C121" s="243"/>
      <c r="D121" s="243"/>
      <c r="E121" s="243"/>
      <c r="F121" s="243"/>
      <c r="G121" s="243"/>
      <c r="H121" s="243"/>
      <c r="I121" s="243"/>
      <c r="J121" s="243"/>
      <c r="K121" s="245"/>
      <c r="L121" s="243"/>
      <c r="M121" s="243"/>
      <c r="N121" s="243"/>
      <c r="O121" s="243"/>
      <c r="P121" s="245"/>
      <c r="Q121" s="243"/>
      <c r="R121" s="249"/>
      <c r="S121" s="246"/>
      <c r="T121" s="226"/>
      <c r="U121" s="226"/>
      <c r="V121" s="226"/>
      <c r="W121" s="226"/>
      <c r="X121" s="226"/>
      <c r="Y121" s="226"/>
      <c r="Z121" s="226"/>
    </row>
    <row r="122" spans="1:26" s="241" customFormat="1">
      <c r="A122" s="242"/>
      <c r="B122" s="237"/>
      <c r="C122" s="237"/>
      <c r="D122" s="237"/>
      <c r="E122" s="237"/>
      <c r="F122" s="237"/>
      <c r="G122" s="237"/>
      <c r="H122" s="237"/>
      <c r="I122" s="237"/>
      <c r="J122" s="237"/>
      <c r="K122" s="239"/>
      <c r="L122" s="237"/>
      <c r="M122" s="237"/>
      <c r="N122" s="237"/>
      <c r="O122" s="237"/>
      <c r="P122" s="239"/>
      <c r="Q122" s="237"/>
      <c r="R122" s="248"/>
      <c r="S122" s="240"/>
      <c r="T122" s="226"/>
      <c r="U122" s="226"/>
      <c r="V122" s="226"/>
      <c r="W122" s="226"/>
      <c r="X122" s="226"/>
      <c r="Y122" s="226"/>
      <c r="Z122" s="226"/>
    </row>
    <row r="123" spans="1:26" s="241" customFormat="1">
      <c r="A123" s="242"/>
      <c r="B123" s="243"/>
      <c r="C123" s="243"/>
      <c r="D123" s="243"/>
      <c r="E123" s="243"/>
      <c r="F123" s="243"/>
      <c r="G123" s="243"/>
      <c r="H123" s="243"/>
      <c r="I123" s="243"/>
      <c r="J123" s="243"/>
      <c r="K123" s="245"/>
      <c r="L123" s="243"/>
      <c r="M123" s="243"/>
      <c r="N123" s="243"/>
      <c r="O123" s="243"/>
      <c r="P123" s="245"/>
      <c r="Q123" s="243"/>
      <c r="R123" s="249"/>
      <c r="S123" s="246"/>
      <c r="T123" s="226"/>
      <c r="U123" s="226"/>
      <c r="V123" s="226"/>
      <c r="W123" s="226"/>
      <c r="X123" s="226"/>
      <c r="Y123" s="226"/>
      <c r="Z123" s="226"/>
    </row>
    <row r="124" spans="1:26" s="241" customFormat="1">
      <c r="A124" s="242"/>
      <c r="B124" s="237"/>
      <c r="C124" s="237"/>
      <c r="D124" s="237"/>
      <c r="E124" s="237"/>
      <c r="F124" s="237"/>
      <c r="G124" s="237"/>
      <c r="H124" s="237"/>
      <c r="I124" s="237"/>
      <c r="J124" s="237"/>
      <c r="K124" s="239"/>
      <c r="L124" s="237"/>
      <c r="M124" s="237"/>
      <c r="N124" s="237"/>
      <c r="O124" s="237"/>
      <c r="P124" s="239"/>
      <c r="Q124" s="237"/>
      <c r="R124" s="248"/>
      <c r="S124" s="240"/>
      <c r="T124" s="226"/>
      <c r="U124" s="226"/>
      <c r="V124" s="226"/>
      <c r="W124" s="226"/>
      <c r="X124" s="226"/>
      <c r="Y124" s="226"/>
      <c r="Z124" s="226"/>
    </row>
    <row r="125" spans="1:26" s="241" customFormat="1">
      <c r="A125" s="247"/>
      <c r="B125" s="243"/>
      <c r="C125" s="243"/>
      <c r="D125" s="243"/>
      <c r="E125" s="243"/>
      <c r="F125" s="243"/>
      <c r="G125" s="243"/>
      <c r="H125" s="243"/>
      <c r="I125" s="243"/>
      <c r="J125" s="243"/>
      <c r="K125" s="245"/>
      <c r="L125" s="243"/>
      <c r="M125" s="243"/>
      <c r="N125" s="243"/>
      <c r="O125" s="243"/>
      <c r="P125" s="245"/>
      <c r="Q125" s="243"/>
      <c r="R125" s="249"/>
      <c r="S125" s="246"/>
      <c r="T125" s="226"/>
      <c r="U125" s="226"/>
      <c r="V125" s="226"/>
      <c r="W125" s="226"/>
      <c r="X125" s="226"/>
      <c r="Y125" s="226"/>
      <c r="Z125" s="226"/>
    </row>
    <row r="126" spans="1:26" s="241" customFormat="1">
      <c r="A126" s="236"/>
      <c r="B126" s="237"/>
      <c r="C126" s="237"/>
      <c r="D126" s="237"/>
      <c r="E126" s="237"/>
      <c r="F126" s="237"/>
      <c r="G126" s="237"/>
      <c r="H126" s="237"/>
      <c r="I126" s="237"/>
      <c r="J126" s="237"/>
      <c r="K126" s="239"/>
      <c r="L126" s="237"/>
      <c r="M126" s="237"/>
      <c r="N126" s="237"/>
      <c r="O126" s="237"/>
      <c r="P126" s="239"/>
      <c r="Q126" s="237"/>
      <c r="R126" s="248"/>
      <c r="S126" s="240"/>
      <c r="T126" s="226"/>
      <c r="U126" s="226"/>
      <c r="V126" s="226"/>
      <c r="W126" s="226"/>
      <c r="X126" s="226"/>
      <c r="Y126" s="226"/>
      <c r="Z126" s="226"/>
    </row>
    <row r="127" spans="1:26" s="241" customFormat="1">
      <c r="A127" s="242"/>
      <c r="B127" s="243"/>
      <c r="C127" s="243"/>
      <c r="D127" s="243"/>
      <c r="E127" s="243"/>
      <c r="F127" s="243"/>
      <c r="G127" s="243"/>
      <c r="H127" s="243"/>
      <c r="I127" s="243"/>
      <c r="J127" s="243"/>
      <c r="K127" s="245"/>
      <c r="L127" s="243"/>
      <c r="M127" s="243"/>
      <c r="N127" s="243"/>
      <c r="O127" s="243"/>
      <c r="P127" s="245"/>
      <c r="Q127" s="243"/>
      <c r="R127" s="249"/>
      <c r="S127" s="246"/>
      <c r="T127" s="226"/>
      <c r="U127" s="226"/>
      <c r="V127" s="226"/>
      <c r="W127" s="226"/>
      <c r="X127" s="226"/>
      <c r="Y127" s="226"/>
      <c r="Z127" s="226"/>
    </row>
    <row r="128" spans="1:26" s="241" customFormat="1">
      <c r="A128" s="242"/>
      <c r="B128" s="237"/>
      <c r="C128" s="237"/>
      <c r="D128" s="237"/>
      <c r="E128" s="237"/>
      <c r="F128" s="237"/>
      <c r="G128" s="237"/>
      <c r="H128" s="237"/>
      <c r="I128" s="237"/>
      <c r="J128" s="237"/>
      <c r="K128" s="239"/>
      <c r="L128" s="237"/>
      <c r="M128" s="237"/>
      <c r="N128" s="237"/>
      <c r="O128" s="237"/>
      <c r="P128" s="239"/>
      <c r="Q128" s="237"/>
      <c r="R128" s="248"/>
      <c r="S128" s="240"/>
      <c r="T128" s="226"/>
      <c r="U128" s="226"/>
      <c r="V128" s="226"/>
      <c r="W128" s="226"/>
      <c r="X128" s="226"/>
      <c r="Y128" s="226"/>
      <c r="Z128" s="226"/>
    </row>
    <row r="129" spans="1:26" s="241" customFormat="1">
      <c r="A129" s="242"/>
      <c r="B129" s="243"/>
      <c r="C129" s="243"/>
      <c r="D129" s="243"/>
      <c r="E129" s="243"/>
      <c r="F129" s="243"/>
      <c r="G129" s="243"/>
      <c r="H129" s="243"/>
      <c r="I129" s="243"/>
      <c r="J129" s="243"/>
      <c r="K129" s="245"/>
      <c r="L129" s="243"/>
      <c r="M129" s="243"/>
      <c r="N129" s="243"/>
      <c r="O129" s="243"/>
      <c r="P129" s="245"/>
      <c r="Q129" s="243"/>
      <c r="R129" s="249"/>
      <c r="S129" s="246"/>
      <c r="T129" s="226"/>
      <c r="U129" s="226"/>
      <c r="V129" s="226"/>
      <c r="W129" s="226"/>
      <c r="X129" s="226"/>
      <c r="Y129" s="226"/>
      <c r="Z129" s="226"/>
    </row>
    <row r="130" spans="1:26" s="241" customFormat="1">
      <c r="A130" s="242"/>
      <c r="B130" s="237"/>
      <c r="C130" s="237"/>
      <c r="D130" s="237"/>
      <c r="E130" s="237"/>
      <c r="F130" s="237"/>
      <c r="G130" s="237"/>
      <c r="H130" s="237"/>
      <c r="I130" s="237"/>
      <c r="J130" s="237"/>
      <c r="K130" s="239"/>
      <c r="L130" s="237"/>
      <c r="M130" s="237"/>
      <c r="N130" s="237"/>
      <c r="O130" s="237"/>
      <c r="P130" s="239"/>
      <c r="Q130" s="237"/>
      <c r="R130" s="248"/>
      <c r="S130" s="240"/>
      <c r="T130" s="226"/>
      <c r="U130" s="226"/>
      <c r="V130" s="226"/>
      <c r="W130" s="226"/>
      <c r="X130" s="226"/>
      <c r="Y130" s="226"/>
      <c r="Z130" s="226"/>
    </row>
    <row r="131" spans="1:26" s="241" customFormat="1">
      <c r="A131" s="242"/>
      <c r="B131" s="243"/>
      <c r="C131" s="243"/>
      <c r="D131" s="243"/>
      <c r="E131" s="243"/>
      <c r="F131" s="243"/>
      <c r="G131" s="243"/>
      <c r="H131" s="243"/>
      <c r="I131" s="243"/>
      <c r="J131" s="243"/>
      <c r="K131" s="245"/>
      <c r="L131" s="243"/>
      <c r="M131" s="243"/>
      <c r="N131" s="243"/>
      <c r="O131" s="243"/>
      <c r="P131" s="245"/>
      <c r="Q131" s="243"/>
      <c r="R131" s="249"/>
      <c r="S131" s="246"/>
      <c r="T131" s="226"/>
      <c r="U131" s="226"/>
      <c r="V131" s="226"/>
      <c r="W131" s="226"/>
      <c r="X131" s="226"/>
      <c r="Y131" s="226"/>
      <c r="Z131" s="226"/>
    </row>
    <row r="132" spans="1:26" s="241" customFormat="1">
      <c r="A132" s="242"/>
      <c r="B132" s="237"/>
      <c r="C132" s="237"/>
      <c r="D132" s="237"/>
      <c r="E132" s="237"/>
      <c r="F132" s="237"/>
      <c r="G132" s="237"/>
      <c r="H132" s="237"/>
      <c r="I132" s="237"/>
      <c r="J132" s="237"/>
      <c r="K132" s="239"/>
      <c r="L132" s="237"/>
      <c r="M132" s="237"/>
      <c r="N132" s="237"/>
      <c r="O132" s="237"/>
      <c r="P132" s="239"/>
      <c r="Q132" s="237"/>
      <c r="R132" s="248"/>
      <c r="S132" s="240"/>
      <c r="T132" s="226"/>
      <c r="U132" s="226"/>
      <c r="V132" s="226"/>
      <c r="W132" s="226"/>
      <c r="X132" s="226"/>
      <c r="Y132" s="226"/>
      <c r="Z132" s="226"/>
    </row>
    <row r="133" spans="1:26" s="241" customFormat="1">
      <c r="A133" s="247"/>
      <c r="B133" s="243"/>
      <c r="C133" s="243"/>
      <c r="D133" s="243"/>
      <c r="E133" s="243"/>
      <c r="F133" s="243"/>
      <c r="G133" s="243"/>
      <c r="H133" s="243"/>
      <c r="I133" s="243"/>
      <c r="J133" s="243"/>
      <c r="K133" s="245"/>
      <c r="L133" s="243"/>
      <c r="M133" s="243"/>
      <c r="N133" s="243"/>
      <c r="O133" s="243"/>
      <c r="P133" s="245"/>
      <c r="Q133" s="243"/>
      <c r="R133" s="249"/>
      <c r="S133" s="246"/>
      <c r="T133" s="226"/>
      <c r="U133" s="226"/>
      <c r="V133" s="226"/>
      <c r="W133" s="226"/>
      <c r="X133" s="226"/>
      <c r="Y133" s="226"/>
      <c r="Z133" s="226"/>
    </row>
    <row r="134" spans="1:26" s="241" customFormat="1">
      <c r="B134" s="252"/>
      <c r="P134" s="253"/>
      <c r="S134" s="254"/>
      <c r="T134" s="254"/>
      <c r="U134" s="254"/>
      <c r="V134" s="254"/>
    </row>
    <row r="135" spans="1:26" s="241" customFormat="1">
      <c r="S135" s="254"/>
      <c r="T135" s="254"/>
      <c r="U135" s="254"/>
      <c r="V135" s="254"/>
    </row>
    <row r="136" spans="1:26" s="241" customFormat="1">
      <c r="S136" s="254"/>
      <c r="T136" s="254"/>
      <c r="U136" s="254"/>
      <c r="V136" s="254"/>
    </row>
    <row r="137" spans="1:26" s="241" customFormat="1">
      <c r="B137" s="252"/>
      <c r="P137" s="253"/>
      <c r="S137" s="254"/>
      <c r="T137" s="254"/>
      <c r="U137" s="254"/>
      <c r="V137" s="254"/>
    </row>
    <row r="138" spans="1:26" s="241" customFormat="1">
      <c r="S138" s="254"/>
      <c r="T138" s="254"/>
      <c r="U138" s="254"/>
      <c r="V138" s="254"/>
    </row>
    <row r="139" spans="1:26" s="241" customFormat="1">
      <c r="S139" s="254"/>
      <c r="T139" s="254"/>
      <c r="U139" s="254"/>
      <c r="V139" s="254"/>
    </row>
    <row r="140" spans="1:26" s="241" customFormat="1">
      <c r="B140" s="252"/>
      <c r="P140" s="253"/>
      <c r="S140" s="254"/>
      <c r="T140" s="254"/>
      <c r="U140" s="254"/>
      <c r="V140" s="254"/>
    </row>
    <row r="141" spans="1:26" s="241" customFormat="1">
      <c r="S141" s="254"/>
      <c r="T141" s="254"/>
      <c r="U141" s="254"/>
      <c r="V141" s="254"/>
    </row>
    <row r="142" spans="1:26" s="241" customFormat="1">
      <c r="S142" s="254"/>
      <c r="T142" s="254"/>
      <c r="U142" s="254"/>
      <c r="V142" s="254"/>
    </row>
    <row r="143" spans="1:26" s="241" customFormat="1">
      <c r="B143" s="252"/>
      <c r="P143" s="253"/>
      <c r="S143" s="254"/>
      <c r="T143" s="254"/>
      <c r="U143" s="254"/>
      <c r="V143" s="254"/>
    </row>
    <row r="144" spans="1:26" s="241" customFormat="1">
      <c r="S144" s="254"/>
      <c r="T144" s="254"/>
      <c r="U144" s="254"/>
      <c r="V144" s="254"/>
    </row>
    <row r="145" spans="2:22" s="241" customFormat="1">
      <c r="S145" s="254"/>
      <c r="T145" s="254"/>
      <c r="U145" s="254"/>
      <c r="V145" s="254"/>
    </row>
    <row r="146" spans="2:22" s="241" customFormat="1">
      <c r="B146" s="252"/>
      <c r="P146" s="253"/>
      <c r="S146" s="254"/>
      <c r="T146" s="254"/>
      <c r="U146" s="254"/>
      <c r="V146" s="254"/>
    </row>
    <row r="147" spans="2:22" s="241" customFormat="1">
      <c r="S147" s="254"/>
      <c r="T147" s="254"/>
      <c r="U147" s="254"/>
      <c r="V147" s="254"/>
    </row>
    <row r="148" spans="2:22" s="241" customFormat="1">
      <c r="S148" s="254"/>
      <c r="T148" s="254"/>
      <c r="U148" s="254"/>
      <c r="V148" s="254"/>
    </row>
    <row r="149" spans="2:22" s="241" customFormat="1">
      <c r="B149" s="252"/>
      <c r="P149" s="253"/>
      <c r="S149" s="254"/>
      <c r="T149" s="254"/>
      <c r="U149" s="254"/>
      <c r="V149" s="254"/>
    </row>
    <row r="150" spans="2:22" s="241" customFormat="1">
      <c r="S150" s="254"/>
      <c r="T150" s="254"/>
      <c r="U150" s="254"/>
      <c r="V150" s="254"/>
    </row>
    <row r="151" spans="2:22" s="241" customFormat="1">
      <c r="S151" s="254"/>
      <c r="T151" s="254"/>
      <c r="U151" s="254"/>
      <c r="V151" s="254"/>
    </row>
    <row r="152" spans="2:22" s="241" customFormat="1">
      <c r="B152" s="252"/>
      <c r="P152" s="253"/>
      <c r="S152" s="254"/>
      <c r="T152" s="254"/>
      <c r="U152" s="254"/>
      <c r="V152" s="254"/>
    </row>
    <row r="153" spans="2:22" s="241" customFormat="1">
      <c r="S153" s="254"/>
      <c r="T153" s="254"/>
      <c r="U153" s="254"/>
      <c r="V153" s="254"/>
    </row>
    <row r="154" spans="2:22" s="241" customFormat="1">
      <c r="S154" s="254"/>
      <c r="T154" s="254"/>
      <c r="U154" s="254"/>
      <c r="V154" s="254"/>
    </row>
    <row r="155" spans="2:22" s="241" customFormat="1">
      <c r="B155" s="252"/>
      <c r="P155" s="253"/>
      <c r="S155" s="254"/>
      <c r="T155" s="254"/>
      <c r="U155" s="254"/>
      <c r="V155" s="254"/>
    </row>
    <row r="156" spans="2:22" s="241" customFormat="1">
      <c r="S156" s="254"/>
      <c r="T156" s="254"/>
      <c r="U156" s="254"/>
      <c r="V156" s="254"/>
    </row>
    <row r="157" spans="2:22" s="241" customFormat="1">
      <c r="S157" s="254"/>
      <c r="T157" s="254"/>
      <c r="U157" s="254"/>
      <c r="V157" s="254"/>
    </row>
    <row r="158" spans="2:22" s="241" customFormat="1">
      <c r="B158" s="252"/>
      <c r="P158" s="253"/>
      <c r="S158" s="254"/>
      <c r="T158" s="254"/>
      <c r="U158" s="254"/>
      <c r="V158" s="254"/>
    </row>
    <row r="159" spans="2:22" s="241" customFormat="1">
      <c r="S159" s="254"/>
      <c r="T159" s="254"/>
      <c r="U159" s="254"/>
      <c r="V159" s="254"/>
    </row>
    <row r="160" spans="2:22" s="241" customFormat="1">
      <c r="S160" s="254"/>
      <c r="T160" s="254"/>
      <c r="U160" s="254"/>
      <c r="V160" s="254"/>
    </row>
    <row r="161" spans="2:22" s="241" customFormat="1">
      <c r="B161" s="252"/>
      <c r="P161" s="253"/>
      <c r="S161" s="254"/>
      <c r="T161" s="254"/>
      <c r="U161" s="254"/>
      <c r="V161" s="254"/>
    </row>
    <row r="162" spans="2:22" s="241" customFormat="1">
      <c r="S162" s="254"/>
      <c r="T162" s="254"/>
      <c r="U162" s="254"/>
      <c r="V162" s="254"/>
    </row>
    <row r="163" spans="2:22" s="241" customFormat="1">
      <c r="S163" s="254"/>
      <c r="T163" s="254"/>
      <c r="U163" s="254"/>
      <c r="V163" s="254"/>
    </row>
    <row r="164" spans="2:22" s="241" customFormat="1">
      <c r="B164" s="252"/>
      <c r="P164" s="253"/>
      <c r="S164" s="254"/>
      <c r="T164" s="254"/>
      <c r="U164" s="254"/>
      <c r="V164" s="254"/>
    </row>
    <row r="165" spans="2:22" s="241" customFormat="1">
      <c r="S165" s="254"/>
      <c r="T165" s="254"/>
      <c r="U165" s="254"/>
      <c r="V165" s="254"/>
    </row>
    <row r="166" spans="2:22" s="241" customFormat="1">
      <c r="S166" s="254"/>
      <c r="T166" s="254"/>
      <c r="U166" s="254"/>
      <c r="V166" s="254"/>
    </row>
    <row r="167" spans="2:22" s="241" customFormat="1">
      <c r="B167" s="252"/>
      <c r="P167" s="253"/>
      <c r="S167" s="254"/>
      <c r="T167" s="254"/>
      <c r="U167" s="254"/>
      <c r="V167" s="254"/>
    </row>
    <row r="168" spans="2:22" s="241" customFormat="1">
      <c r="S168" s="254"/>
      <c r="T168" s="254"/>
      <c r="U168" s="254"/>
      <c r="V168" s="254"/>
    </row>
    <row r="169" spans="2:22" s="241" customFormat="1">
      <c r="S169" s="254"/>
      <c r="T169" s="254"/>
      <c r="U169" s="254"/>
      <c r="V169" s="254"/>
    </row>
    <row r="170" spans="2:22" s="241" customFormat="1">
      <c r="B170" s="252"/>
      <c r="P170" s="253"/>
      <c r="S170" s="254"/>
      <c r="T170" s="254"/>
      <c r="U170" s="254"/>
      <c r="V170" s="254"/>
    </row>
    <row r="171" spans="2:22" s="241" customFormat="1">
      <c r="S171" s="254"/>
      <c r="T171" s="254"/>
      <c r="U171" s="254"/>
      <c r="V171" s="254"/>
    </row>
    <row r="172" spans="2:22" s="241" customFormat="1">
      <c r="S172" s="254"/>
      <c r="T172" s="254"/>
      <c r="U172" s="254"/>
      <c r="V172" s="254"/>
    </row>
    <row r="173" spans="2:22" s="241" customFormat="1">
      <c r="B173" s="252"/>
      <c r="P173" s="253"/>
      <c r="S173" s="254"/>
      <c r="T173" s="254"/>
      <c r="U173" s="254"/>
      <c r="V173" s="254"/>
    </row>
    <row r="174" spans="2:22" s="241" customFormat="1">
      <c r="S174" s="254"/>
      <c r="T174" s="254"/>
      <c r="U174" s="254"/>
      <c r="V174" s="254"/>
    </row>
    <row r="175" spans="2:22" s="241" customFormat="1">
      <c r="S175" s="254"/>
      <c r="T175" s="254"/>
      <c r="U175" s="254"/>
      <c r="V175" s="254"/>
    </row>
    <row r="176" spans="2:22" s="241" customFormat="1">
      <c r="B176" s="252"/>
      <c r="P176" s="253"/>
      <c r="S176" s="254"/>
      <c r="T176" s="254"/>
      <c r="U176" s="254"/>
      <c r="V176" s="254"/>
    </row>
    <row r="177" spans="2:22" s="241" customFormat="1">
      <c r="S177" s="254"/>
      <c r="T177" s="254"/>
      <c r="U177" s="254"/>
      <c r="V177" s="254"/>
    </row>
    <row r="178" spans="2:22" s="241" customFormat="1">
      <c r="S178" s="254"/>
      <c r="T178" s="254"/>
      <c r="U178" s="254"/>
      <c r="V178" s="254"/>
    </row>
    <row r="179" spans="2:22" s="241" customFormat="1">
      <c r="B179" s="252"/>
      <c r="P179" s="253"/>
      <c r="S179" s="254"/>
      <c r="T179" s="254"/>
      <c r="U179" s="254"/>
      <c r="V179" s="254"/>
    </row>
    <row r="180" spans="2:22" s="241" customFormat="1">
      <c r="S180" s="254"/>
      <c r="T180" s="254"/>
      <c r="U180" s="254"/>
      <c r="V180" s="254"/>
    </row>
    <row r="181" spans="2:22" s="241" customFormat="1">
      <c r="S181" s="254"/>
      <c r="T181" s="254"/>
      <c r="U181" s="254"/>
      <c r="V181" s="254"/>
    </row>
    <row r="182" spans="2:22" s="241" customFormat="1">
      <c r="B182" s="252"/>
      <c r="P182" s="253"/>
      <c r="S182" s="254"/>
      <c r="T182" s="254"/>
      <c r="U182" s="254"/>
      <c r="V182" s="254"/>
    </row>
    <row r="183" spans="2:22" s="241" customFormat="1">
      <c r="S183" s="254"/>
      <c r="T183" s="254"/>
      <c r="U183" s="254"/>
      <c r="V183" s="254"/>
    </row>
    <row r="184" spans="2:22" s="241" customFormat="1">
      <c r="S184" s="254"/>
      <c r="T184" s="254"/>
      <c r="U184" s="254"/>
      <c r="V184" s="254"/>
    </row>
    <row r="185" spans="2:22" s="241" customFormat="1">
      <c r="B185" s="252"/>
      <c r="P185" s="253"/>
      <c r="S185" s="254"/>
      <c r="T185" s="254"/>
      <c r="U185" s="254"/>
      <c r="V185" s="254"/>
    </row>
    <row r="186" spans="2:22" s="241" customFormat="1">
      <c r="S186" s="254"/>
      <c r="T186" s="254"/>
      <c r="U186" s="254"/>
      <c r="V186" s="254"/>
    </row>
    <row r="187" spans="2:22" s="241" customFormat="1">
      <c r="S187" s="254"/>
      <c r="T187" s="254"/>
      <c r="U187" s="254"/>
      <c r="V187" s="254"/>
    </row>
    <row r="188" spans="2:22" s="241" customFormat="1">
      <c r="B188" s="252"/>
      <c r="P188" s="253"/>
      <c r="S188" s="254"/>
      <c r="T188" s="254"/>
      <c r="U188" s="254"/>
      <c r="V188" s="254"/>
    </row>
    <row r="189" spans="2:22" s="241" customFormat="1">
      <c r="S189" s="254"/>
      <c r="T189" s="254"/>
      <c r="U189" s="254"/>
      <c r="V189" s="254"/>
    </row>
    <row r="190" spans="2:22" s="241" customFormat="1">
      <c r="S190" s="254"/>
      <c r="T190" s="254"/>
      <c r="U190" s="254"/>
      <c r="V190" s="254"/>
    </row>
    <row r="191" spans="2:22" s="241" customFormat="1">
      <c r="B191" s="252"/>
      <c r="P191" s="253"/>
      <c r="S191" s="254"/>
      <c r="T191" s="254"/>
      <c r="U191" s="254"/>
      <c r="V191" s="254"/>
    </row>
    <row r="192" spans="2:22" s="241" customFormat="1">
      <c r="S192" s="254"/>
      <c r="T192" s="254"/>
      <c r="U192" s="254"/>
      <c r="V192" s="254"/>
    </row>
    <row r="193" spans="2:22" s="241" customFormat="1">
      <c r="S193" s="254"/>
      <c r="T193" s="254"/>
      <c r="U193" s="254"/>
      <c r="V193" s="254"/>
    </row>
    <row r="194" spans="2:22" s="241" customFormat="1">
      <c r="B194" s="252"/>
      <c r="P194" s="253"/>
      <c r="S194" s="254"/>
      <c r="T194" s="254"/>
      <c r="U194" s="254"/>
      <c r="V194" s="254"/>
    </row>
    <row r="195" spans="2:22" s="241" customFormat="1">
      <c r="S195" s="254"/>
      <c r="T195" s="254"/>
      <c r="U195" s="254"/>
      <c r="V195" s="254"/>
    </row>
    <row r="196" spans="2:22" s="241" customFormat="1">
      <c r="S196" s="254"/>
      <c r="T196" s="254"/>
      <c r="U196" s="254"/>
      <c r="V196" s="254"/>
    </row>
    <row r="197" spans="2:22" s="241" customFormat="1">
      <c r="B197" s="252"/>
      <c r="P197" s="253"/>
      <c r="S197" s="254"/>
      <c r="T197" s="254"/>
      <c r="U197" s="254"/>
      <c r="V197" s="254"/>
    </row>
    <row r="198" spans="2:22" s="241" customFormat="1">
      <c r="S198" s="254"/>
      <c r="T198" s="254"/>
      <c r="U198" s="254"/>
      <c r="V198" s="254"/>
    </row>
    <row r="199" spans="2:22" s="241" customFormat="1">
      <c r="S199" s="254"/>
      <c r="T199" s="254"/>
      <c r="U199" s="254"/>
      <c r="V199" s="254"/>
    </row>
    <row r="200" spans="2:22" s="241" customFormat="1">
      <c r="B200" s="252"/>
      <c r="P200" s="253"/>
      <c r="S200" s="254"/>
      <c r="T200" s="254"/>
      <c r="U200" s="254"/>
      <c r="V200" s="254"/>
    </row>
    <row r="201" spans="2:22" s="241" customFormat="1">
      <c r="S201" s="254"/>
      <c r="T201" s="254"/>
      <c r="U201" s="254"/>
      <c r="V201" s="254"/>
    </row>
    <row r="202" spans="2:22" s="241" customFormat="1">
      <c r="S202" s="254"/>
      <c r="T202" s="254"/>
      <c r="U202" s="254"/>
      <c r="V202" s="254"/>
    </row>
    <row r="203" spans="2:22" s="241" customFormat="1">
      <c r="B203" s="252"/>
      <c r="P203" s="253"/>
      <c r="S203" s="254"/>
      <c r="T203" s="254"/>
      <c r="U203" s="254"/>
      <c r="V203" s="254"/>
    </row>
    <row r="204" spans="2:22" s="241" customFormat="1">
      <c r="S204" s="254"/>
      <c r="T204" s="254"/>
      <c r="U204" s="254"/>
      <c r="V204" s="254"/>
    </row>
    <row r="205" spans="2:22" s="241" customFormat="1">
      <c r="S205" s="254"/>
      <c r="T205" s="254"/>
      <c r="U205" s="254"/>
      <c r="V205" s="254"/>
    </row>
    <row r="206" spans="2:22" s="241" customFormat="1">
      <c r="B206" s="252"/>
      <c r="P206" s="253"/>
      <c r="S206" s="254"/>
      <c r="T206" s="254"/>
      <c r="U206" s="254"/>
      <c r="V206" s="254"/>
    </row>
    <row r="207" spans="2:22" s="241" customFormat="1">
      <c r="S207" s="254"/>
      <c r="T207" s="254"/>
      <c r="U207" s="254"/>
      <c r="V207" s="254"/>
    </row>
    <row r="208" spans="2:22" s="241" customFormat="1">
      <c r="S208" s="254"/>
      <c r="T208" s="254"/>
      <c r="U208" s="254"/>
      <c r="V208" s="254"/>
    </row>
    <row r="209" spans="2:22" s="241" customFormat="1">
      <c r="B209" s="252"/>
      <c r="P209" s="253"/>
      <c r="S209" s="254"/>
      <c r="T209" s="254"/>
      <c r="U209" s="254"/>
      <c r="V209" s="254"/>
    </row>
    <row r="210" spans="2:22" s="241" customFormat="1">
      <c r="S210" s="254"/>
      <c r="T210" s="254"/>
      <c r="U210" s="254"/>
      <c r="V210" s="254"/>
    </row>
    <row r="211" spans="2:22" s="241" customFormat="1">
      <c r="S211" s="254"/>
      <c r="T211" s="254"/>
      <c r="U211" s="254"/>
      <c r="V211" s="254"/>
    </row>
    <row r="212" spans="2:22" s="241" customFormat="1">
      <c r="B212" s="252"/>
      <c r="P212" s="253"/>
      <c r="S212" s="254"/>
      <c r="T212" s="254"/>
      <c r="U212" s="254"/>
      <c r="V212" s="254"/>
    </row>
    <row r="213" spans="2:22" s="241" customFormat="1">
      <c r="S213" s="254"/>
      <c r="T213" s="254"/>
      <c r="U213" s="254"/>
      <c r="V213" s="254"/>
    </row>
    <row r="214" spans="2:22" s="241" customFormat="1">
      <c r="S214" s="254"/>
      <c r="T214" s="254"/>
      <c r="U214" s="254"/>
      <c r="V214" s="254"/>
    </row>
    <row r="215" spans="2:22" s="241" customFormat="1">
      <c r="B215" s="252"/>
      <c r="P215" s="253"/>
      <c r="S215" s="254"/>
      <c r="T215" s="254"/>
      <c r="U215" s="254"/>
      <c r="V215" s="254"/>
    </row>
    <row r="216" spans="2:22" s="241" customFormat="1">
      <c r="S216" s="254"/>
      <c r="T216" s="254"/>
      <c r="U216" s="254"/>
      <c r="V216" s="254"/>
    </row>
    <row r="217" spans="2:22" s="241" customFormat="1">
      <c r="S217" s="254"/>
      <c r="T217" s="254"/>
      <c r="U217" s="254"/>
      <c r="V217" s="254"/>
    </row>
    <row r="218" spans="2:22" s="241" customFormat="1">
      <c r="B218" s="252"/>
      <c r="P218" s="253"/>
      <c r="S218" s="254"/>
      <c r="T218" s="254"/>
      <c r="U218" s="254"/>
      <c r="V218" s="254"/>
    </row>
    <row r="219" spans="2:22" s="241" customFormat="1">
      <c r="S219" s="254"/>
      <c r="T219" s="254"/>
      <c r="U219" s="254"/>
      <c r="V219" s="254"/>
    </row>
    <row r="220" spans="2:22" s="241" customFormat="1">
      <c r="S220" s="254"/>
      <c r="T220" s="254"/>
      <c r="U220" s="254"/>
      <c r="V220" s="254"/>
    </row>
    <row r="221" spans="2:22" s="241" customFormat="1">
      <c r="B221" s="252"/>
      <c r="P221" s="253"/>
      <c r="S221" s="254"/>
      <c r="T221" s="254"/>
      <c r="U221" s="254"/>
      <c r="V221" s="254"/>
    </row>
    <row r="222" spans="2:22" s="241" customFormat="1">
      <c r="S222" s="254"/>
      <c r="T222" s="254"/>
      <c r="U222" s="254"/>
      <c r="V222" s="254"/>
    </row>
    <row r="223" spans="2:22" s="241" customFormat="1">
      <c r="S223" s="254"/>
      <c r="T223" s="254"/>
      <c r="U223" s="254"/>
      <c r="V223" s="254"/>
    </row>
    <row r="224" spans="2:22" s="241" customFormat="1">
      <c r="B224" s="252"/>
      <c r="P224" s="253"/>
      <c r="S224" s="254"/>
      <c r="T224" s="254"/>
      <c r="U224" s="254"/>
      <c r="V224" s="254"/>
    </row>
    <row r="225" spans="2:22" s="241" customFormat="1">
      <c r="S225" s="254"/>
      <c r="T225" s="254"/>
      <c r="U225" s="254"/>
      <c r="V225" s="254"/>
    </row>
    <row r="226" spans="2:22" s="241" customFormat="1">
      <c r="S226" s="254"/>
      <c r="T226" s="254"/>
      <c r="U226" s="254"/>
      <c r="V226" s="254"/>
    </row>
    <row r="227" spans="2:22" s="241" customFormat="1">
      <c r="B227" s="252"/>
      <c r="P227" s="253"/>
      <c r="S227" s="254"/>
      <c r="T227" s="254"/>
      <c r="U227" s="254"/>
      <c r="V227" s="254"/>
    </row>
    <row r="228" spans="2:22" s="241" customFormat="1">
      <c r="S228" s="254"/>
      <c r="T228" s="254"/>
      <c r="U228" s="254"/>
      <c r="V228" s="254"/>
    </row>
    <row r="229" spans="2:22" s="241" customFormat="1">
      <c r="S229" s="254"/>
      <c r="T229" s="254"/>
      <c r="U229" s="254"/>
      <c r="V229" s="254"/>
    </row>
    <row r="230" spans="2:22" s="241" customFormat="1">
      <c r="B230" s="252"/>
      <c r="P230" s="253"/>
      <c r="S230" s="254"/>
      <c r="T230" s="254"/>
      <c r="U230" s="254"/>
      <c r="V230" s="254"/>
    </row>
    <row r="231" spans="2:22" s="241" customFormat="1">
      <c r="S231" s="254"/>
      <c r="T231" s="254"/>
      <c r="U231" s="254"/>
      <c r="V231" s="254"/>
    </row>
    <row r="232" spans="2:22" s="241" customFormat="1">
      <c r="S232" s="254"/>
      <c r="T232" s="254"/>
      <c r="U232" s="254"/>
      <c r="V232" s="254"/>
    </row>
    <row r="233" spans="2:22" s="241" customFormat="1">
      <c r="B233" s="252"/>
      <c r="P233" s="253"/>
      <c r="S233" s="254"/>
      <c r="T233" s="254"/>
      <c r="U233" s="254"/>
      <c r="V233" s="254"/>
    </row>
    <row r="234" spans="2:22" s="241" customFormat="1">
      <c r="S234" s="254"/>
      <c r="T234" s="254"/>
      <c r="U234" s="254"/>
      <c r="V234" s="254"/>
    </row>
    <row r="235" spans="2:22" s="241" customFormat="1">
      <c r="S235" s="254"/>
      <c r="T235" s="254"/>
      <c r="U235" s="254"/>
      <c r="V235" s="254"/>
    </row>
    <row r="236" spans="2:22" s="241" customFormat="1">
      <c r="B236" s="252"/>
      <c r="P236" s="253"/>
      <c r="S236" s="254"/>
      <c r="T236" s="254"/>
      <c r="U236" s="254"/>
      <c r="V236" s="254"/>
    </row>
    <row r="237" spans="2:22" s="241" customFormat="1">
      <c r="S237" s="254"/>
      <c r="T237" s="254"/>
      <c r="U237" s="254"/>
      <c r="V237" s="254"/>
    </row>
    <row r="238" spans="2:22" s="241" customFormat="1">
      <c r="S238" s="254"/>
      <c r="T238" s="254"/>
      <c r="U238" s="254"/>
      <c r="V238" s="254"/>
    </row>
    <row r="239" spans="2:22" s="241" customFormat="1">
      <c r="B239" s="252"/>
      <c r="P239" s="253"/>
      <c r="S239" s="254"/>
      <c r="T239" s="254"/>
      <c r="U239" s="254"/>
      <c r="V239" s="254"/>
    </row>
    <row r="240" spans="2:22" s="241" customFormat="1">
      <c r="S240" s="254"/>
      <c r="T240" s="254"/>
      <c r="U240" s="254"/>
      <c r="V240" s="254"/>
    </row>
    <row r="241" spans="2:22" s="241" customFormat="1">
      <c r="S241" s="254"/>
      <c r="T241" s="254"/>
      <c r="U241" s="254"/>
      <c r="V241" s="254"/>
    </row>
    <row r="242" spans="2:22" s="241" customFormat="1">
      <c r="B242" s="252"/>
      <c r="P242" s="253"/>
      <c r="S242" s="254"/>
      <c r="T242" s="254"/>
      <c r="U242" s="254"/>
      <c r="V242" s="254"/>
    </row>
    <row r="243" spans="2:22" s="241" customFormat="1">
      <c r="S243" s="254"/>
      <c r="T243" s="254"/>
      <c r="U243" s="254"/>
      <c r="V243" s="254"/>
    </row>
    <row r="244" spans="2:22" s="241" customFormat="1">
      <c r="S244" s="254"/>
      <c r="T244" s="254"/>
      <c r="U244" s="254"/>
      <c r="V244" s="254"/>
    </row>
    <row r="245" spans="2:22" s="241" customFormat="1">
      <c r="B245" s="252"/>
      <c r="P245" s="253"/>
      <c r="S245" s="254"/>
      <c r="T245" s="254"/>
      <c r="U245" s="254"/>
      <c r="V245" s="254"/>
    </row>
    <row r="246" spans="2:22" s="241" customFormat="1">
      <c r="S246" s="254"/>
      <c r="T246" s="254"/>
      <c r="U246" s="254"/>
      <c r="V246" s="254"/>
    </row>
    <row r="247" spans="2:22" s="241" customFormat="1">
      <c r="S247" s="254"/>
      <c r="T247" s="254"/>
      <c r="U247" s="254"/>
      <c r="V247" s="254"/>
    </row>
    <row r="248" spans="2:22" s="241" customFormat="1">
      <c r="B248" s="252"/>
      <c r="P248" s="253"/>
      <c r="S248" s="254"/>
      <c r="T248" s="254"/>
      <c r="U248" s="254"/>
      <c r="V248" s="254"/>
    </row>
    <row r="249" spans="2:22" s="241" customFormat="1">
      <c r="S249" s="254"/>
      <c r="T249" s="254"/>
      <c r="U249" s="254"/>
      <c r="V249" s="254"/>
    </row>
    <row r="250" spans="2:22" s="241" customFormat="1">
      <c r="S250" s="254"/>
      <c r="T250" s="254"/>
      <c r="U250" s="254"/>
      <c r="V250" s="254"/>
    </row>
    <row r="251" spans="2:22" s="241" customFormat="1">
      <c r="B251" s="252"/>
      <c r="P251" s="253"/>
      <c r="S251" s="254"/>
      <c r="T251" s="254"/>
      <c r="U251" s="254"/>
      <c r="V251" s="254"/>
    </row>
    <row r="252" spans="2:22" s="241" customFormat="1">
      <c r="S252" s="254"/>
      <c r="T252" s="254"/>
      <c r="U252" s="254"/>
      <c r="V252" s="254"/>
    </row>
    <row r="253" spans="2:22" s="241" customFormat="1">
      <c r="S253" s="254"/>
      <c r="T253" s="254"/>
      <c r="U253" s="254"/>
      <c r="V253" s="254"/>
    </row>
    <row r="254" spans="2:22" s="241" customFormat="1">
      <c r="B254" s="252"/>
      <c r="P254" s="253"/>
      <c r="S254" s="254"/>
      <c r="T254" s="254"/>
      <c r="U254" s="254"/>
      <c r="V254" s="254"/>
    </row>
    <row r="255" spans="2:22" s="241" customFormat="1">
      <c r="S255" s="254"/>
      <c r="T255" s="254"/>
      <c r="U255" s="254"/>
      <c r="V255" s="254"/>
    </row>
    <row r="256" spans="2:22" s="241" customFormat="1">
      <c r="S256" s="254"/>
      <c r="T256" s="254"/>
      <c r="U256" s="254"/>
      <c r="V256" s="254"/>
    </row>
    <row r="257" spans="2:22" s="241" customFormat="1">
      <c r="B257" s="252"/>
      <c r="P257" s="253"/>
      <c r="S257" s="254"/>
      <c r="T257" s="254"/>
      <c r="U257" s="254"/>
      <c r="V257" s="254"/>
    </row>
    <row r="258" spans="2:22" s="241" customFormat="1">
      <c r="S258" s="254"/>
      <c r="T258" s="254"/>
      <c r="U258" s="254"/>
      <c r="V258" s="254"/>
    </row>
    <row r="259" spans="2:22" s="241" customFormat="1">
      <c r="S259" s="254"/>
      <c r="T259" s="254"/>
      <c r="U259" s="254"/>
      <c r="V259" s="254"/>
    </row>
    <row r="260" spans="2:22" s="241" customFormat="1">
      <c r="B260" s="252"/>
      <c r="P260" s="253"/>
      <c r="S260" s="254"/>
      <c r="T260" s="254"/>
      <c r="U260" s="254"/>
      <c r="V260" s="254"/>
    </row>
    <row r="261" spans="2:22" s="241" customFormat="1">
      <c r="S261" s="254"/>
      <c r="T261" s="254"/>
      <c r="U261" s="254"/>
      <c r="V261" s="254"/>
    </row>
    <row r="262" spans="2:22" s="241" customFormat="1">
      <c r="S262" s="254"/>
      <c r="T262" s="254"/>
      <c r="U262" s="254"/>
      <c r="V262" s="254"/>
    </row>
    <row r="263" spans="2:22" s="241" customFormat="1">
      <c r="B263" s="252"/>
      <c r="P263" s="253"/>
      <c r="S263" s="254"/>
      <c r="T263" s="254"/>
      <c r="U263" s="254"/>
      <c r="V263" s="254"/>
    </row>
    <row r="264" spans="2:22" s="241" customFormat="1">
      <c r="S264" s="254"/>
      <c r="T264" s="254"/>
      <c r="U264" s="254"/>
      <c r="V264" s="254"/>
    </row>
    <row r="265" spans="2:22" s="241" customFormat="1">
      <c r="S265" s="254"/>
      <c r="T265" s="254"/>
      <c r="U265" s="254"/>
      <c r="V265" s="254"/>
    </row>
    <row r="266" spans="2:22" s="241" customFormat="1">
      <c r="B266" s="252"/>
      <c r="P266" s="253"/>
      <c r="S266" s="254"/>
      <c r="T266" s="254"/>
      <c r="U266" s="254"/>
      <c r="V266" s="254"/>
    </row>
    <row r="267" spans="2:22" s="241" customFormat="1">
      <c r="S267" s="254"/>
      <c r="T267" s="254"/>
      <c r="U267" s="254"/>
      <c r="V267" s="254"/>
    </row>
    <row r="268" spans="2:22" s="241" customFormat="1">
      <c r="S268" s="254"/>
      <c r="T268" s="254"/>
      <c r="U268" s="254"/>
      <c r="V268" s="254"/>
    </row>
    <row r="269" spans="2:22" s="241" customFormat="1">
      <c r="B269" s="252"/>
      <c r="P269" s="253"/>
      <c r="S269" s="254"/>
      <c r="T269" s="254"/>
      <c r="U269" s="254"/>
      <c r="V269" s="254"/>
    </row>
    <row r="270" spans="2:22" s="241" customFormat="1">
      <c r="S270" s="254"/>
      <c r="T270" s="254"/>
      <c r="U270" s="254"/>
      <c r="V270" s="254"/>
    </row>
    <row r="271" spans="2:22" s="241" customFormat="1">
      <c r="S271" s="254"/>
      <c r="T271" s="254"/>
      <c r="U271" s="254"/>
      <c r="V271" s="254"/>
    </row>
    <row r="272" spans="2:22" s="241" customFormat="1">
      <c r="B272" s="252"/>
      <c r="P272" s="253"/>
      <c r="S272" s="254"/>
      <c r="T272" s="254"/>
      <c r="U272" s="254"/>
      <c r="V272" s="254"/>
    </row>
    <row r="273" spans="2:22" s="241" customFormat="1">
      <c r="S273" s="254"/>
      <c r="T273" s="254"/>
      <c r="U273" s="254"/>
      <c r="V273" s="254"/>
    </row>
    <row r="274" spans="2:22" s="241" customFormat="1">
      <c r="S274" s="254"/>
      <c r="T274" s="254"/>
      <c r="U274" s="254"/>
      <c r="V274" s="254"/>
    </row>
    <row r="275" spans="2:22" s="241" customFormat="1">
      <c r="B275" s="252"/>
      <c r="P275" s="253"/>
      <c r="S275" s="254"/>
      <c r="T275" s="254"/>
      <c r="U275" s="254"/>
      <c r="V275" s="254"/>
    </row>
    <row r="276" spans="2:22" s="241" customFormat="1">
      <c r="S276" s="254"/>
      <c r="T276" s="254"/>
      <c r="U276" s="254"/>
      <c r="V276" s="254"/>
    </row>
    <row r="277" spans="2:22" s="241" customFormat="1">
      <c r="S277" s="254"/>
      <c r="T277" s="254"/>
      <c r="U277" s="254"/>
      <c r="V277" s="254"/>
    </row>
    <row r="278" spans="2:22" s="241" customFormat="1">
      <c r="B278" s="252"/>
      <c r="P278" s="253"/>
      <c r="S278" s="255"/>
      <c r="T278" s="254"/>
      <c r="U278" s="254"/>
      <c r="V278" s="254"/>
    </row>
    <row r="279" spans="2:22" s="241" customFormat="1">
      <c r="S279" s="254"/>
      <c r="T279" s="254"/>
      <c r="U279" s="254"/>
      <c r="V279" s="254"/>
    </row>
    <row r="280" spans="2:22" s="241" customFormat="1">
      <c r="S280" s="254"/>
      <c r="T280" s="254"/>
      <c r="U280" s="254"/>
      <c r="V280" s="254"/>
    </row>
    <row r="281" spans="2:22" s="241" customFormat="1">
      <c r="B281" s="252"/>
      <c r="P281" s="253"/>
      <c r="S281" s="254"/>
      <c r="T281" s="254"/>
      <c r="U281" s="254"/>
      <c r="V281" s="254"/>
    </row>
    <row r="282" spans="2:22" s="241" customFormat="1">
      <c r="S282" s="254"/>
      <c r="T282" s="254"/>
      <c r="U282" s="254"/>
      <c r="V282" s="254"/>
    </row>
    <row r="283" spans="2:22" s="241" customFormat="1">
      <c r="S283" s="254"/>
      <c r="T283" s="254"/>
      <c r="U283" s="254"/>
      <c r="V283" s="254"/>
    </row>
    <row r="284" spans="2:22" s="241" customFormat="1">
      <c r="B284" s="252"/>
      <c r="P284" s="253"/>
      <c r="S284" s="254"/>
      <c r="T284" s="254"/>
      <c r="U284" s="254"/>
      <c r="V284" s="254"/>
    </row>
    <row r="285" spans="2:22" s="241" customFormat="1">
      <c r="S285" s="254"/>
      <c r="T285" s="254"/>
      <c r="U285" s="254"/>
      <c r="V285" s="254"/>
    </row>
    <row r="286" spans="2:22" s="241" customFormat="1">
      <c r="S286" s="254"/>
      <c r="T286" s="254"/>
      <c r="U286" s="254"/>
      <c r="V286" s="254"/>
    </row>
    <row r="287" spans="2:22" s="241" customFormat="1">
      <c r="B287" s="252"/>
      <c r="P287" s="253"/>
      <c r="S287" s="254"/>
      <c r="T287" s="254"/>
      <c r="U287" s="254"/>
      <c r="V287" s="254"/>
    </row>
    <row r="288" spans="2:22" s="241" customFormat="1">
      <c r="S288" s="254"/>
      <c r="T288" s="254"/>
      <c r="U288" s="254"/>
      <c r="V288" s="254"/>
    </row>
    <row r="289" spans="2:22" s="241" customFormat="1">
      <c r="S289" s="254"/>
      <c r="T289" s="254"/>
      <c r="U289" s="254"/>
      <c r="V289" s="254"/>
    </row>
    <row r="290" spans="2:22" s="241" customFormat="1">
      <c r="B290" s="252"/>
      <c r="P290" s="253"/>
      <c r="S290" s="254"/>
      <c r="T290" s="254"/>
      <c r="U290" s="254"/>
      <c r="V290" s="254"/>
    </row>
    <row r="291" spans="2:22" s="241" customFormat="1">
      <c r="S291" s="254"/>
      <c r="T291" s="254"/>
      <c r="U291" s="254"/>
      <c r="V291" s="254"/>
    </row>
    <row r="292" spans="2:22" s="241" customFormat="1">
      <c r="S292" s="254"/>
      <c r="T292" s="254"/>
      <c r="U292" s="254"/>
      <c r="V292" s="254"/>
    </row>
    <row r="293" spans="2:22" s="241" customFormat="1">
      <c r="B293" s="252"/>
      <c r="P293" s="253"/>
      <c r="S293" s="254"/>
      <c r="T293" s="254"/>
      <c r="U293" s="254"/>
      <c r="V293" s="254"/>
    </row>
    <row r="294" spans="2:22" s="241" customFormat="1">
      <c r="S294" s="254"/>
      <c r="T294" s="254"/>
      <c r="U294" s="254"/>
      <c r="V294" s="254"/>
    </row>
    <row r="295" spans="2:22" s="241" customFormat="1">
      <c r="S295" s="254"/>
      <c r="T295" s="254"/>
      <c r="U295" s="254"/>
      <c r="V295" s="254"/>
    </row>
    <row r="296" spans="2:22" s="241" customFormat="1">
      <c r="B296" s="252"/>
      <c r="P296" s="253"/>
      <c r="S296" s="255"/>
      <c r="T296" s="254"/>
      <c r="U296" s="254"/>
      <c r="V296" s="254"/>
    </row>
    <row r="297" spans="2:22" s="241" customFormat="1">
      <c r="S297" s="254"/>
      <c r="T297" s="254"/>
      <c r="U297" s="254"/>
      <c r="V297" s="254"/>
    </row>
    <row r="298" spans="2:22" s="241" customFormat="1">
      <c r="S298" s="254"/>
      <c r="T298" s="254"/>
      <c r="U298" s="254"/>
      <c r="V298" s="254"/>
    </row>
    <row r="299" spans="2:22" s="241" customFormat="1">
      <c r="B299" s="252"/>
      <c r="P299" s="253"/>
      <c r="S299" s="254"/>
      <c r="T299" s="254"/>
      <c r="U299" s="254"/>
      <c r="V299" s="254"/>
    </row>
    <row r="300" spans="2:22" s="241" customFormat="1">
      <c r="S300" s="254"/>
      <c r="T300" s="254"/>
      <c r="U300" s="254"/>
      <c r="V300" s="254"/>
    </row>
    <row r="301" spans="2:22" s="241" customFormat="1">
      <c r="S301" s="254"/>
      <c r="T301" s="254"/>
      <c r="U301" s="254"/>
      <c r="V301" s="254"/>
    </row>
    <row r="302" spans="2:22" s="241" customFormat="1">
      <c r="B302" s="252"/>
      <c r="P302" s="253"/>
      <c r="S302" s="254"/>
      <c r="T302" s="254"/>
      <c r="U302" s="254"/>
      <c r="V302" s="254"/>
    </row>
    <row r="303" spans="2:22" s="241" customFormat="1">
      <c r="S303" s="254"/>
      <c r="T303" s="254"/>
      <c r="U303" s="254"/>
      <c r="V303" s="254"/>
    </row>
    <row r="304" spans="2:22" s="241" customFormat="1">
      <c r="S304" s="254"/>
      <c r="T304" s="254"/>
      <c r="U304" s="254"/>
      <c r="V304" s="254"/>
    </row>
    <row r="305" spans="2:22" s="241" customFormat="1">
      <c r="B305" s="252"/>
      <c r="P305" s="253"/>
      <c r="S305" s="254"/>
      <c r="T305" s="254"/>
      <c r="U305" s="254"/>
      <c r="V305" s="254"/>
    </row>
    <row r="306" spans="2:22" s="241" customFormat="1">
      <c r="S306" s="254"/>
      <c r="T306" s="254"/>
      <c r="U306" s="254"/>
      <c r="V306" s="254"/>
    </row>
    <row r="307" spans="2:22" s="241" customFormat="1">
      <c r="S307" s="254"/>
      <c r="T307" s="254"/>
      <c r="U307" s="254"/>
      <c r="V307" s="254"/>
    </row>
    <row r="308" spans="2:22" s="241" customFormat="1">
      <c r="B308" s="252"/>
      <c r="P308" s="253"/>
      <c r="S308" s="254"/>
      <c r="T308" s="254"/>
      <c r="U308" s="254"/>
      <c r="V308" s="254"/>
    </row>
    <row r="309" spans="2:22" s="241" customFormat="1">
      <c r="S309" s="254"/>
      <c r="T309" s="254"/>
      <c r="U309" s="254"/>
      <c r="V309" s="254"/>
    </row>
    <row r="310" spans="2:22" s="241" customFormat="1">
      <c r="S310" s="254"/>
      <c r="T310" s="254"/>
      <c r="U310" s="254"/>
      <c r="V310" s="254"/>
    </row>
    <row r="311" spans="2:22" s="241" customFormat="1">
      <c r="B311" s="252"/>
      <c r="P311" s="253"/>
      <c r="S311" s="254"/>
      <c r="T311" s="254"/>
      <c r="U311" s="254"/>
      <c r="V311" s="254"/>
    </row>
    <row r="312" spans="2:22" s="241" customFormat="1">
      <c r="S312" s="254"/>
      <c r="T312" s="254"/>
      <c r="U312" s="254"/>
      <c r="V312" s="254"/>
    </row>
    <row r="313" spans="2:22" s="241" customFormat="1">
      <c r="S313" s="254"/>
      <c r="T313" s="254"/>
      <c r="U313" s="254"/>
      <c r="V313" s="254"/>
    </row>
    <row r="314" spans="2:22" s="241" customFormat="1">
      <c r="B314" s="252"/>
      <c r="P314" s="253"/>
      <c r="S314" s="254"/>
      <c r="T314" s="254"/>
      <c r="U314" s="254"/>
      <c r="V314" s="254"/>
    </row>
    <row r="315" spans="2:22" s="241" customFormat="1">
      <c r="S315" s="254"/>
      <c r="T315" s="254"/>
      <c r="U315" s="254"/>
      <c r="V315" s="254"/>
    </row>
    <row r="316" spans="2:22" s="241" customFormat="1">
      <c r="S316" s="254"/>
      <c r="T316" s="254"/>
      <c r="U316" s="254"/>
      <c r="V316" s="254"/>
    </row>
    <row r="317" spans="2:22" s="241" customFormat="1">
      <c r="B317" s="252"/>
      <c r="P317" s="253"/>
      <c r="S317" s="254"/>
      <c r="T317" s="254"/>
      <c r="U317" s="254"/>
      <c r="V317" s="254"/>
    </row>
    <row r="318" spans="2:22" s="241" customFormat="1">
      <c r="S318" s="254"/>
      <c r="T318" s="254"/>
      <c r="U318" s="254"/>
      <c r="V318" s="254"/>
    </row>
    <row r="319" spans="2:22" s="241" customFormat="1">
      <c r="S319" s="254"/>
      <c r="T319" s="254"/>
      <c r="U319" s="254"/>
      <c r="V319" s="254"/>
    </row>
    <row r="320" spans="2:22" s="241" customFormat="1">
      <c r="B320" s="252"/>
      <c r="P320" s="253"/>
      <c r="S320" s="254"/>
      <c r="T320" s="254"/>
      <c r="U320" s="254"/>
      <c r="V320" s="254"/>
    </row>
    <row r="321" spans="2:22" s="241" customFormat="1">
      <c r="S321" s="254"/>
      <c r="T321" s="254"/>
      <c r="U321" s="254"/>
      <c r="V321" s="254"/>
    </row>
    <row r="322" spans="2:22" s="241" customFormat="1">
      <c r="S322" s="254"/>
      <c r="T322" s="254"/>
      <c r="U322" s="254"/>
      <c r="V322" s="254"/>
    </row>
    <row r="323" spans="2:22" s="241" customFormat="1">
      <c r="B323" s="252"/>
      <c r="P323" s="253"/>
      <c r="S323" s="254"/>
      <c r="T323" s="254"/>
      <c r="U323" s="254"/>
      <c r="V323" s="254"/>
    </row>
    <row r="324" spans="2:22" s="241" customFormat="1">
      <c r="S324" s="254"/>
      <c r="T324" s="254"/>
      <c r="U324" s="254"/>
      <c r="V324" s="254"/>
    </row>
    <row r="325" spans="2:22" s="241" customFormat="1">
      <c r="S325" s="254"/>
      <c r="T325" s="254"/>
      <c r="U325" s="254"/>
      <c r="V325" s="254"/>
    </row>
    <row r="326" spans="2:22" s="241" customFormat="1">
      <c r="B326" s="252"/>
      <c r="P326" s="253"/>
      <c r="S326" s="254"/>
      <c r="T326" s="254"/>
      <c r="U326" s="254"/>
      <c r="V326" s="254"/>
    </row>
    <row r="327" spans="2:22" s="241" customFormat="1">
      <c r="S327" s="254"/>
      <c r="T327" s="254"/>
      <c r="U327" s="254"/>
      <c r="V327" s="254"/>
    </row>
    <row r="328" spans="2:22" s="241" customFormat="1">
      <c r="S328" s="254"/>
      <c r="T328" s="254"/>
      <c r="U328" s="254"/>
      <c r="V328" s="254"/>
    </row>
    <row r="329" spans="2:22" s="241" customFormat="1">
      <c r="B329" s="252"/>
      <c r="P329" s="253"/>
      <c r="S329" s="254"/>
      <c r="T329" s="254"/>
      <c r="U329" s="254"/>
      <c r="V329" s="254"/>
    </row>
    <row r="330" spans="2:22" s="241" customFormat="1">
      <c r="S330" s="254"/>
      <c r="T330" s="254"/>
      <c r="U330" s="254"/>
      <c r="V330" s="254"/>
    </row>
    <row r="331" spans="2:22" s="241" customFormat="1">
      <c r="S331" s="254"/>
      <c r="T331" s="254"/>
      <c r="U331" s="254"/>
      <c r="V331" s="254"/>
    </row>
    <row r="332" spans="2:22" s="241" customFormat="1">
      <c r="B332" s="252"/>
      <c r="P332" s="253"/>
      <c r="S332" s="254"/>
      <c r="T332" s="254"/>
      <c r="U332" s="254"/>
      <c r="V332" s="254"/>
    </row>
    <row r="333" spans="2:22" s="241" customFormat="1">
      <c r="S333" s="254"/>
      <c r="T333" s="254"/>
      <c r="U333" s="254"/>
      <c r="V333" s="254"/>
    </row>
    <row r="334" spans="2:22" s="241" customFormat="1">
      <c r="S334" s="254"/>
      <c r="T334" s="254"/>
      <c r="U334" s="254"/>
      <c r="V334" s="254"/>
    </row>
    <row r="335" spans="2:22" s="241" customFormat="1">
      <c r="B335" s="252"/>
      <c r="P335" s="253"/>
      <c r="S335" s="254"/>
      <c r="T335" s="254"/>
      <c r="U335" s="254"/>
      <c r="V335" s="254"/>
    </row>
    <row r="336" spans="2:22" s="241" customFormat="1">
      <c r="S336" s="254"/>
      <c r="T336" s="254"/>
      <c r="U336" s="254"/>
      <c r="V336" s="254"/>
    </row>
    <row r="337" spans="2:22" s="241" customFormat="1">
      <c r="S337" s="254"/>
      <c r="T337" s="254"/>
      <c r="U337" s="254"/>
      <c r="V337" s="254"/>
    </row>
    <row r="338" spans="2:22" s="241" customFormat="1">
      <c r="B338" s="252"/>
      <c r="P338" s="253"/>
      <c r="S338" s="254"/>
      <c r="T338" s="254"/>
      <c r="U338" s="254"/>
      <c r="V338" s="254"/>
    </row>
    <row r="339" spans="2:22" s="241" customFormat="1">
      <c r="S339" s="254"/>
      <c r="T339" s="254"/>
      <c r="U339" s="254"/>
      <c r="V339" s="254"/>
    </row>
    <row r="340" spans="2:22" s="241" customFormat="1">
      <c r="S340" s="254"/>
      <c r="T340" s="254"/>
      <c r="U340" s="254"/>
      <c r="V340" s="254"/>
    </row>
    <row r="341" spans="2:22" s="241" customFormat="1">
      <c r="B341" s="252"/>
      <c r="P341" s="253"/>
      <c r="S341" s="254"/>
      <c r="T341" s="254"/>
      <c r="U341" s="254"/>
      <c r="V341" s="254"/>
    </row>
    <row r="342" spans="2:22" s="241" customFormat="1">
      <c r="S342" s="254"/>
      <c r="T342" s="254"/>
      <c r="U342" s="254"/>
      <c r="V342" s="254"/>
    </row>
    <row r="343" spans="2:22" s="241" customFormat="1">
      <c r="S343" s="254"/>
      <c r="T343" s="254"/>
      <c r="U343" s="254"/>
      <c r="V343" s="254"/>
    </row>
    <row r="344" spans="2:22" s="241" customFormat="1">
      <c r="B344" s="252"/>
      <c r="P344" s="253"/>
      <c r="S344" s="254"/>
      <c r="T344" s="254"/>
      <c r="U344" s="254"/>
      <c r="V344" s="254"/>
    </row>
    <row r="345" spans="2:22" s="241" customFormat="1">
      <c r="S345" s="254"/>
      <c r="T345" s="254"/>
      <c r="U345" s="254"/>
      <c r="V345" s="254"/>
    </row>
    <row r="346" spans="2:22" s="241" customFormat="1">
      <c r="S346" s="254"/>
      <c r="T346" s="254"/>
      <c r="U346" s="254"/>
      <c r="V346" s="254"/>
    </row>
    <row r="347" spans="2:22" s="241" customFormat="1">
      <c r="B347" s="252"/>
      <c r="P347" s="253"/>
      <c r="S347" s="254"/>
      <c r="T347" s="254"/>
      <c r="U347" s="254"/>
      <c r="V347" s="254"/>
    </row>
    <row r="348" spans="2:22" s="241" customFormat="1">
      <c r="S348" s="254"/>
      <c r="T348" s="254"/>
      <c r="U348" s="254"/>
      <c r="V348" s="254"/>
    </row>
    <row r="349" spans="2:22" s="241" customFormat="1">
      <c r="S349" s="254"/>
      <c r="T349" s="254"/>
      <c r="U349" s="254"/>
      <c r="V349" s="254"/>
    </row>
    <row r="350" spans="2:22" s="241" customFormat="1">
      <c r="B350" s="252"/>
      <c r="P350" s="253"/>
      <c r="S350" s="254"/>
      <c r="T350" s="254"/>
      <c r="U350" s="254"/>
      <c r="V350" s="254"/>
    </row>
    <row r="351" spans="2:22" s="241" customFormat="1">
      <c r="S351" s="254"/>
      <c r="T351" s="254"/>
      <c r="U351" s="254"/>
      <c r="V351" s="254"/>
    </row>
    <row r="352" spans="2:22" s="241" customFormat="1">
      <c r="S352" s="254"/>
      <c r="T352" s="254"/>
      <c r="U352" s="254"/>
      <c r="V352" s="254"/>
    </row>
    <row r="353" spans="2:22" s="241" customFormat="1">
      <c r="B353" s="252"/>
      <c r="P353" s="253"/>
      <c r="S353" s="254"/>
      <c r="T353" s="254"/>
      <c r="U353" s="254"/>
      <c r="V353" s="254"/>
    </row>
    <row r="354" spans="2:22" s="241" customFormat="1">
      <c r="S354" s="254"/>
      <c r="T354" s="254"/>
      <c r="U354" s="254"/>
      <c r="V354" s="254"/>
    </row>
    <row r="355" spans="2:22" s="241" customFormat="1">
      <c r="S355" s="254"/>
      <c r="T355" s="254"/>
      <c r="U355" s="254"/>
      <c r="V355" s="254"/>
    </row>
    <row r="356" spans="2:22" s="241" customFormat="1">
      <c r="B356" s="252"/>
      <c r="P356" s="253"/>
      <c r="S356" s="254"/>
      <c r="T356" s="254"/>
      <c r="U356" s="254"/>
      <c r="V356" s="254"/>
    </row>
    <row r="357" spans="2:22" s="241" customFormat="1">
      <c r="S357" s="254"/>
      <c r="T357" s="254"/>
      <c r="U357" s="254"/>
      <c r="V357" s="254"/>
    </row>
    <row r="358" spans="2:22" s="241" customFormat="1">
      <c r="S358" s="254"/>
      <c r="T358" s="254"/>
      <c r="U358" s="254"/>
      <c r="V358" s="254"/>
    </row>
    <row r="359" spans="2:22" s="241" customFormat="1">
      <c r="B359" s="252"/>
      <c r="P359" s="253"/>
      <c r="S359" s="254"/>
      <c r="T359" s="254"/>
      <c r="U359" s="254"/>
      <c r="V359" s="254"/>
    </row>
    <row r="360" spans="2:22" s="241" customFormat="1">
      <c r="S360" s="254"/>
      <c r="T360" s="254"/>
      <c r="U360" s="254"/>
      <c r="V360" s="254"/>
    </row>
    <row r="361" spans="2:22" s="241" customFormat="1">
      <c r="S361" s="254"/>
      <c r="T361" s="254"/>
      <c r="U361" s="254"/>
      <c r="V361" s="254"/>
    </row>
    <row r="362" spans="2:22" s="241" customFormat="1">
      <c r="B362" s="252"/>
      <c r="P362" s="253"/>
      <c r="S362" s="254"/>
      <c r="T362" s="254"/>
      <c r="U362" s="254"/>
      <c r="V362" s="254"/>
    </row>
    <row r="363" spans="2:22" s="241" customFormat="1">
      <c r="S363" s="254"/>
      <c r="T363" s="254"/>
      <c r="U363" s="254"/>
      <c r="V363" s="254"/>
    </row>
    <row r="364" spans="2:22" s="241" customFormat="1">
      <c r="S364" s="254"/>
      <c r="T364" s="254"/>
      <c r="U364" s="254"/>
      <c r="V364" s="254"/>
    </row>
    <row r="365" spans="2:22" s="241" customFormat="1">
      <c r="B365" s="252"/>
      <c r="P365" s="253"/>
      <c r="S365" s="254"/>
      <c r="T365" s="254"/>
      <c r="U365" s="254"/>
      <c r="V365" s="254"/>
    </row>
    <row r="366" spans="2:22" s="241" customFormat="1">
      <c r="S366" s="254"/>
      <c r="T366" s="254"/>
      <c r="U366" s="254"/>
      <c r="V366" s="254"/>
    </row>
    <row r="367" spans="2:22" s="241" customFormat="1">
      <c r="S367" s="254"/>
      <c r="T367" s="254"/>
      <c r="U367" s="254"/>
      <c r="V367" s="254"/>
    </row>
    <row r="368" spans="2:22" s="241" customFormat="1">
      <c r="B368" s="252"/>
      <c r="P368" s="253"/>
      <c r="S368" s="254"/>
      <c r="T368" s="254"/>
      <c r="U368" s="254"/>
      <c r="V368" s="254"/>
    </row>
    <row r="369" spans="2:22" s="241" customFormat="1">
      <c r="S369" s="254"/>
      <c r="T369" s="254"/>
      <c r="U369" s="254"/>
      <c r="V369" s="254"/>
    </row>
    <row r="370" spans="2:22" s="241" customFormat="1">
      <c r="S370" s="254"/>
      <c r="T370" s="254"/>
      <c r="U370" s="254"/>
      <c r="V370" s="254"/>
    </row>
    <row r="371" spans="2:22" s="241" customFormat="1">
      <c r="B371" s="252"/>
      <c r="P371" s="253"/>
      <c r="S371" s="254"/>
      <c r="T371" s="254"/>
      <c r="U371" s="254"/>
      <c r="V371" s="254"/>
    </row>
    <row r="372" spans="2:22" s="241" customFormat="1">
      <c r="S372" s="254"/>
      <c r="T372" s="254"/>
      <c r="U372" s="254"/>
      <c r="V372" s="254"/>
    </row>
    <row r="373" spans="2:22" s="241" customFormat="1">
      <c r="S373" s="254"/>
      <c r="T373" s="254"/>
      <c r="U373" s="254"/>
      <c r="V373" s="254"/>
    </row>
    <row r="374" spans="2:22" s="241" customFormat="1">
      <c r="B374" s="252"/>
      <c r="P374" s="253"/>
      <c r="S374" s="254"/>
      <c r="T374" s="254"/>
      <c r="U374" s="254"/>
      <c r="V374" s="254"/>
    </row>
    <row r="375" spans="2:22" s="241" customFormat="1">
      <c r="S375" s="254"/>
      <c r="T375" s="254"/>
      <c r="U375" s="254"/>
      <c r="V375" s="254"/>
    </row>
    <row r="376" spans="2:22" s="241" customFormat="1">
      <c r="S376" s="254"/>
      <c r="T376" s="254"/>
      <c r="U376" s="254"/>
      <c r="V376" s="254"/>
    </row>
    <row r="377" spans="2:22" s="241" customFormat="1">
      <c r="B377" s="252"/>
      <c r="P377" s="253"/>
      <c r="S377" s="254"/>
      <c r="T377" s="254"/>
      <c r="U377" s="254"/>
      <c r="V377" s="254"/>
    </row>
    <row r="378" spans="2:22" s="241" customFormat="1">
      <c r="S378" s="254"/>
      <c r="T378" s="254"/>
      <c r="U378" s="254"/>
      <c r="V378" s="254"/>
    </row>
    <row r="379" spans="2:22" s="241" customFormat="1">
      <c r="S379" s="254"/>
      <c r="T379" s="254"/>
      <c r="U379" s="254"/>
      <c r="V379" s="254"/>
    </row>
    <row r="380" spans="2:22" s="241" customFormat="1">
      <c r="B380" s="252"/>
      <c r="P380" s="253"/>
      <c r="S380" s="254"/>
      <c r="T380" s="254"/>
      <c r="U380" s="254"/>
      <c r="V380" s="254"/>
    </row>
    <row r="381" spans="2:22" s="241" customFormat="1">
      <c r="S381" s="254"/>
      <c r="T381" s="254"/>
      <c r="U381" s="254"/>
      <c r="V381" s="254"/>
    </row>
    <row r="382" spans="2:22" s="241" customFormat="1">
      <c r="S382" s="254"/>
      <c r="T382" s="254"/>
      <c r="U382" s="254"/>
      <c r="V382" s="254"/>
    </row>
    <row r="383" spans="2:22" s="241" customFormat="1">
      <c r="B383" s="252"/>
      <c r="P383" s="253"/>
      <c r="S383" s="254"/>
      <c r="T383" s="254"/>
      <c r="U383" s="254"/>
      <c r="V383" s="254"/>
    </row>
    <row r="384" spans="2:22" s="241" customFormat="1">
      <c r="S384" s="254"/>
      <c r="T384" s="254"/>
      <c r="U384" s="254"/>
      <c r="V384" s="254"/>
    </row>
    <row r="385" spans="2:22" s="241" customFormat="1">
      <c r="S385" s="254"/>
      <c r="T385" s="254"/>
      <c r="U385" s="254"/>
      <c r="V385" s="254"/>
    </row>
    <row r="386" spans="2:22" s="241" customFormat="1">
      <c r="B386" s="252"/>
      <c r="P386" s="253"/>
      <c r="S386" s="254"/>
      <c r="T386" s="254"/>
      <c r="U386" s="254"/>
      <c r="V386" s="254"/>
    </row>
    <row r="387" spans="2:22" s="241" customFormat="1">
      <c r="S387" s="254"/>
      <c r="T387" s="254"/>
      <c r="U387" s="254"/>
      <c r="V387" s="254"/>
    </row>
    <row r="388" spans="2:22" s="241" customFormat="1">
      <c r="S388" s="254"/>
      <c r="T388" s="254"/>
      <c r="U388" s="254"/>
      <c r="V388" s="254"/>
    </row>
    <row r="389" spans="2:22" s="241" customFormat="1">
      <c r="B389" s="252"/>
      <c r="P389" s="253"/>
      <c r="S389" s="254"/>
      <c r="T389" s="254"/>
      <c r="U389" s="254"/>
      <c r="V389" s="254"/>
    </row>
    <row r="390" spans="2:22" s="241" customFormat="1">
      <c r="S390" s="254"/>
      <c r="T390" s="254"/>
      <c r="U390" s="254"/>
      <c r="V390" s="254"/>
    </row>
    <row r="391" spans="2:22" s="241" customFormat="1">
      <c r="S391" s="254"/>
      <c r="T391" s="254"/>
      <c r="U391" s="254"/>
      <c r="V391" s="254"/>
    </row>
    <row r="392" spans="2:22" s="241" customFormat="1">
      <c r="B392" s="252"/>
      <c r="P392" s="253"/>
      <c r="S392" s="254"/>
      <c r="T392" s="254"/>
      <c r="U392" s="254"/>
      <c r="V392" s="254"/>
    </row>
    <row r="393" spans="2:22" s="241" customFormat="1">
      <c r="S393" s="254"/>
      <c r="T393" s="254"/>
      <c r="U393" s="254"/>
      <c r="V393" s="254"/>
    </row>
    <row r="394" spans="2:22" s="241" customFormat="1">
      <c r="S394" s="254"/>
      <c r="T394" s="254"/>
      <c r="U394" s="254"/>
      <c r="V394" s="254"/>
    </row>
    <row r="395" spans="2:22" s="241" customFormat="1">
      <c r="B395" s="252"/>
      <c r="P395" s="253"/>
      <c r="S395" s="254"/>
      <c r="T395" s="254"/>
      <c r="U395" s="254"/>
      <c r="V395" s="254"/>
    </row>
    <row r="396" spans="2:22" s="241" customFormat="1">
      <c r="S396" s="254"/>
      <c r="T396" s="254"/>
      <c r="U396" s="254"/>
      <c r="V396" s="254"/>
    </row>
    <row r="397" spans="2:22" s="241" customFormat="1">
      <c r="S397" s="254"/>
      <c r="T397" s="254"/>
      <c r="U397" s="254"/>
      <c r="V397" s="254"/>
    </row>
    <row r="398" spans="2:22" s="241" customFormat="1">
      <c r="B398" s="252"/>
      <c r="P398" s="253"/>
      <c r="S398" s="254"/>
      <c r="T398" s="254"/>
      <c r="U398" s="254"/>
      <c r="V398" s="254"/>
    </row>
    <row r="399" spans="2:22" s="241" customFormat="1">
      <c r="S399" s="254"/>
      <c r="T399" s="254"/>
      <c r="U399" s="254"/>
      <c r="V399" s="254"/>
    </row>
    <row r="400" spans="2:22" s="241" customFormat="1">
      <c r="S400" s="254"/>
      <c r="T400" s="254"/>
      <c r="U400" s="254"/>
      <c r="V400" s="254"/>
    </row>
    <row r="401" spans="2:22" s="241" customFormat="1">
      <c r="B401" s="252"/>
      <c r="P401" s="253"/>
      <c r="S401" s="254"/>
      <c r="T401" s="254"/>
      <c r="U401" s="254"/>
      <c r="V401" s="254"/>
    </row>
    <row r="402" spans="2:22" s="241" customFormat="1">
      <c r="S402" s="254"/>
      <c r="T402" s="254"/>
      <c r="U402" s="254"/>
      <c r="V402" s="254"/>
    </row>
    <row r="403" spans="2:22" s="241" customFormat="1">
      <c r="S403" s="254"/>
      <c r="T403" s="254"/>
      <c r="U403" s="254"/>
      <c r="V403" s="254"/>
    </row>
    <row r="404" spans="2:22" s="241" customFormat="1">
      <c r="B404" s="252"/>
      <c r="P404" s="253"/>
      <c r="S404" s="254"/>
      <c r="T404" s="254"/>
      <c r="U404" s="254"/>
      <c r="V404" s="254"/>
    </row>
    <row r="405" spans="2:22" s="241" customFormat="1">
      <c r="S405" s="254"/>
      <c r="T405" s="254"/>
      <c r="U405" s="254"/>
      <c r="V405" s="254"/>
    </row>
    <row r="406" spans="2:22" s="241" customFormat="1">
      <c r="S406" s="254"/>
      <c r="T406" s="254"/>
      <c r="U406" s="254"/>
      <c r="V406" s="254"/>
    </row>
    <row r="407" spans="2:22" s="241" customFormat="1">
      <c r="B407" s="252"/>
      <c r="P407" s="253"/>
      <c r="S407" s="254"/>
      <c r="T407" s="254"/>
      <c r="U407" s="254"/>
      <c r="V407" s="254"/>
    </row>
    <row r="408" spans="2:22" s="241" customFormat="1">
      <c r="S408" s="254"/>
      <c r="T408" s="254"/>
      <c r="U408" s="254"/>
      <c r="V408" s="254"/>
    </row>
    <row r="409" spans="2:22" s="241" customFormat="1">
      <c r="S409" s="254"/>
      <c r="T409" s="254"/>
      <c r="U409" s="254"/>
      <c r="V409" s="254"/>
    </row>
    <row r="410" spans="2:22" s="241" customFormat="1">
      <c r="B410" s="252"/>
      <c r="P410" s="253"/>
      <c r="S410" s="254"/>
      <c r="T410" s="254"/>
      <c r="U410" s="254"/>
      <c r="V410" s="254"/>
    </row>
    <row r="411" spans="2:22" s="241" customFormat="1">
      <c r="S411" s="254"/>
      <c r="T411" s="254"/>
      <c r="U411" s="254"/>
      <c r="V411" s="254"/>
    </row>
    <row r="412" spans="2:22" s="241" customFormat="1">
      <c r="S412" s="254"/>
      <c r="T412" s="254"/>
      <c r="U412" s="254"/>
      <c r="V412" s="254"/>
    </row>
    <row r="413" spans="2:22" s="241" customFormat="1">
      <c r="B413" s="252"/>
      <c r="P413" s="253"/>
      <c r="S413" s="254"/>
      <c r="T413" s="254"/>
      <c r="U413" s="254"/>
      <c r="V413" s="254"/>
    </row>
    <row r="414" spans="2:22" s="241" customFormat="1">
      <c r="S414" s="254"/>
      <c r="T414" s="254"/>
      <c r="U414" s="254"/>
      <c r="V414" s="254"/>
    </row>
    <row r="415" spans="2:22" s="241" customFormat="1">
      <c r="S415" s="254"/>
      <c r="T415" s="254"/>
      <c r="U415" s="254"/>
      <c r="V415" s="254"/>
    </row>
    <row r="416" spans="2:22" s="241" customFormat="1">
      <c r="B416" s="252"/>
      <c r="P416" s="253"/>
      <c r="S416" s="254"/>
      <c r="T416" s="254"/>
      <c r="U416" s="254"/>
      <c r="V416" s="254"/>
    </row>
    <row r="417" spans="2:22" s="241" customFormat="1">
      <c r="S417" s="254"/>
      <c r="T417" s="254"/>
      <c r="U417" s="254"/>
      <c r="V417" s="254"/>
    </row>
    <row r="418" spans="2:22" s="241" customFormat="1">
      <c r="S418" s="254"/>
      <c r="T418" s="254"/>
      <c r="U418" s="254"/>
      <c r="V418" s="254"/>
    </row>
    <row r="419" spans="2:22" s="241" customFormat="1">
      <c r="B419" s="252"/>
      <c r="P419" s="253"/>
      <c r="S419" s="254"/>
      <c r="T419" s="254"/>
      <c r="U419" s="254"/>
      <c r="V419" s="254"/>
    </row>
    <row r="420" spans="2:22" s="241" customFormat="1">
      <c r="S420" s="254"/>
      <c r="T420" s="254"/>
      <c r="U420" s="254"/>
      <c r="V420" s="254"/>
    </row>
    <row r="421" spans="2:22" s="241" customFormat="1">
      <c r="S421" s="254"/>
      <c r="T421" s="254"/>
      <c r="U421" s="254"/>
      <c r="V421" s="254"/>
    </row>
    <row r="422" spans="2:22" s="241" customFormat="1">
      <c r="B422" s="252"/>
      <c r="P422" s="253"/>
      <c r="S422" s="254"/>
      <c r="T422" s="254"/>
      <c r="U422" s="254"/>
      <c r="V422" s="254"/>
    </row>
    <row r="423" spans="2:22" s="241" customFormat="1">
      <c r="S423" s="254"/>
      <c r="T423" s="254"/>
      <c r="U423" s="254"/>
      <c r="V423" s="254"/>
    </row>
    <row r="424" spans="2:22" s="241" customFormat="1">
      <c r="S424" s="254"/>
      <c r="T424" s="254"/>
      <c r="U424" s="254"/>
      <c r="V424" s="254"/>
    </row>
    <row r="425" spans="2:22" s="241" customFormat="1">
      <c r="B425" s="252"/>
      <c r="P425" s="253"/>
      <c r="S425" s="254"/>
      <c r="T425" s="254"/>
      <c r="U425" s="254"/>
      <c r="V425" s="254"/>
    </row>
    <row r="426" spans="2:22" s="241" customFormat="1">
      <c r="S426" s="254"/>
      <c r="T426" s="254"/>
      <c r="U426" s="254"/>
      <c r="V426" s="254"/>
    </row>
    <row r="427" spans="2:22" s="241" customFormat="1">
      <c r="S427" s="254"/>
      <c r="T427" s="254"/>
      <c r="U427" s="254"/>
      <c r="V427" s="254"/>
    </row>
    <row r="428" spans="2:22" s="241" customFormat="1">
      <c r="B428" s="252"/>
      <c r="P428" s="253"/>
      <c r="S428" s="254"/>
      <c r="T428" s="254"/>
      <c r="U428" s="254"/>
      <c r="V428" s="254"/>
    </row>
    <row r="429" spans="2:22" s="241" customFormat="1">
      <c r="S429" s="254"/>
      <c r="T429" s="254"/>
      <c r="U429" s="254"/>
      <c r="V429" s="254"/>
    </row>
    <row r="430" spans="2:22" s="241" customFormat="1">
      <c r="S430" s="254"/>
      <c r="T430" s="254"/>
      <c r="U430" s="254"/>
      <c r="V430" s="254"/>
    </row>
    <row r="431" spans="2:22" s="241" customFormat="1">
      <c r="B431" s="252"/>
      <c r="P431" s="253"/>
      <c r="S431" s="254"/>
      <c r="T431" s="254"/>
      <c r="U431" s="254"/>
      <c r="V431" s="254"/>
    </row>
    <row r="432" spans="2:22" s="241" customFormat="1">
      <c r="S432" s="254"/>
      <c r="T432" s="254"/>
      <c r="U432" s="254"/>
      <c r="V432" s="254"/>
    </row>
    <row r="433" spans="2:22" s="241" customFormat="1">
      <c r="S433" s="254"/>
      <c r="T433" s="254"/>
      <c r="U433" s="254"/>
      <c r="V433" s="254"/>
    </row>
    <row r="434" spans="2:22" s="241" customFormat="1">
      <c r="B434" s="252"/>
      <c r="P434" s="253"/>
      <c r="S434" s="254"/>
      <c r="T434" s="254"/>
      <c r="U434" s="254"/>
      <c r="V434" s="254"/>
    </row>
    <row r="435" spans="2:22" s="241" customFormat="1">
      <c r="S435" s="254"/>
      <c r="T435" s="254"/>
      <c r="U435" s="254"/>
      <c r="V435" s="254"/>
    </row>
    <row r="436" spans="2:22" s="241" customFormat="1">
      <c r="S436" s="254"/>
      <c r="T436" s="254"/>
      <c r="U436" s="254"/>
      <c r="V436" s="254"/>
    </row>
    <row r="437" spans="2:22" s="241" customFormat="1">
      <c r="B437" s="252"/>
      <c r="P437" s="253"/>
      <c r="S437" s="254"/>
      <c r="T437" s="254"/>
      <c r="U437" s="254"/>
      <c r="V437" s="254"/>
    </row>
    <row r="438" spans="2:22" s="241" customFormat="1">
      <c r="S438" s="254"/>
      <c r="T438" s="254"/>
      <c r="U438" s="254"/>
      <c r="V438" s="254"/>
    </row>
    <row r="439" spans="2:22" s="241" customFormat="1">
      <c r="S439" s="254"/>
      <c r="T439" s="254"/>
      <c r="U439" s="254"/>
      <c r="V439" s="254"/>
    </row>
    <row r="440" spans="2:22" s="241" customFormat="1">
      <c r="B440" s="252"/>
      <c r="P440" s="253"/>
      <c r="S440" s="254"/>
      <c r="T440" s="254"/>
      <c r="U440" s="254"/>
      <c r="V440" s="254"/>
    </row>
    <row r="441" spans="2:22" s="241" customFormat="1">
      <c r="S441" s="254"/>
      <c r="T441" s="254"/>
      <c r="U441" s="254"/>
      <c r="V441" s="254"/>
    </row>
    <row r="442" spans="2:22" s="241" customFormat="1">
      <c r="S442" s="254"/>
      <c r="T442" s="254"/>
      <c r="U442" s="254"/>
      <c r="V442" s="254"/>
    </row>
    <row r="443" spans="2:22" s="241" customFormat="1">
      <c r="B443" s="252"/>
      <c r="P443" s="253"/>
      <c r="S443" s="254"/>
      <c r="T443" s="254"/>
      <c r="U443" s="254"/>
      <c r="V443" s="254"/>
    </row>
    <row r="444" spans="2:22" s="241" customFormat="1">
      <c r="S444" s="254"/>
      <c r="T444" s="254"/>
      <c r="U444" s="254"/>
      <c r="V444" s="254"/>
    </row>
    <row r="445" spans="2:22" s="241" customFormat="1">
      <c r="S445" s="254"/>
      <c r="T445" s="254"/>
      <c r="U445" s="254"/>
      <c r="V445" s="254"/>
    </row>
    <row r="446" spans="2:22" s="241" customFormat="1">
      <c r="B446" s="252"/>
      <c r="P446" s="253"/>
      <c r="S446" s="254"/>
      <c r="T446" s="254"/>
      <c r="U446" s="254"/>
      <c r="V446" s="254"/>
    </row>
    <row r="447" spans="2:22" s="241" customFormat="1">
      <c r="S447" s="254"/>
      <c r="T447" s="254"/>
      <c r="U447" s="254"/>
      <c r="V447" s="254"/>
    </row>
    <row r="448" spans="2:22" s="241" customFormat="1">
      <c r="S448" s="254"/>
      <c r="T448" s="254"/>
      <c r="U448" s="254"/>
      <c r="V448" s="254"/>
    </row>
    <row r="449" spans="2:22" s="241" customFormat="1">
      <c r="B449" s="252"/>
      <c r="P449" s="253"/>
      <c r="S449" s="254"/>
      <c r="T449" s="254"/>
      <c r="U449" s="254"/>
      <c r="V449" s="254"/>
    </row>
    <row r="450" spans="2:22" s="241" customFormat="1">
      <c r="S450" s="254"/>
      <c r="T450" s="254"/>
      <c r="U450" s="254"/>
      <c r="V450" s="254"/>
    </row>
    <row r="451" spans="2:22" s="241" customFormat="1">
      <c r="S451" s="254"/>
      <c r="T451" s="254"/>
      <c r="U451" s="254"/>
      <c r="V451" s="254"/>
    </row>
    <row r="452" spans="2:22" s="241" customFormat="1">
      <c r="B452" s="252"/>
      <c r="P452" s="253"/>
      <c r="S452" s="254"/>
      <c r="T452" s="254"/>
      <c r="U452" s="254"/>
      <c r="V452" s="254"/>
    </row>
    <row r="453" spans="2:22" s="241" customFormat="1">
      <c r="S453" s="254"/>
      <c r="T453" s="254"/>
      <c r="U453" s="254"/>
      <c r="V453" s="254"/>
    </row>
    <row r="454" spans="2:22" s="241" customFormat="1">
      <c r="S454" s="254"/>
      <c r="T454" s="254"/>
      <c r="U454" s="254"/>
      <c r="V454" s="254"/>
    </row>
    <row r="455" spans="2:22" s="241" customFormat="1">
      <c r="B455" s="252"/>
      <c r="P455" s="253"/>
      <c r="S455" s="254"/>
      <c r="T455" s="254"/>
      <c r="U455" s="254"/>
      <c r="V455" s="254"/>
    </row>
    <row r="456" spans="2:22" s="241" customFormat="1">
      <c r="S456" s="254"/>
      <c r="T456" s="254"/>
      <c r="U456" s="254"/>
      <c r="V456" s="254"/>
    </row>
    <row r="457" spans="2:22" s="241" customFormat="1">
      <c r="S457" s="254"/>
      <c r="T457" s="254"/>
      <c r="U457" s="254"/>
      <c r="V457" s="254"/>
    </row>
    <row r="458" spans="2:22" s="241" customFormat="1">
      <c r="B458" s="252"/>
      <c r="P458" s="253"/>
      <c r="S458" s="254"/>
      <c r="T458" s="254"/>
      <c r="U458" s="254"/>
      <c r="V458" s="254"/>
    </row>
    <row r="459" spans="2:22" s="241" customFormat="1">
      <c r="S459" s="254"/>
      <c r="T459" s="254"/>
      <c r="U459" s="254"/>
      <c r="V459" s="254"/>
    </row>
    <row r="460" spans="2:22" s="241" customFormat="1">
      <c r="S460" s="254"/>
      <c r="T460" s="254"/>
      <c r="U460" s="254"/>
      <c r="V460" s="254"/>
    </row>
    <row r="461" spans="2:22" s="241" customFormat="1">
      <c r="B461" s="252"/>
      <c r="P461" s="253"/>
      <c r="S461" s="254"/>
      <c r="T461" s="254"/>
      <c r="U461" s="254"/>
      <c r="V461" s="254"/>
    </row>
    <row r="462" spans="2:22" s="241" customFormat="1">
      <c r="S462" s="254"/>
      <c r="T462" s="254"/>
      <c r="U462" s="254"/>
      <c r="V462" s="254"/>
    </row>
    <row r="463" spans="2:22" s="241" customFormat="1">
      <c r="S463" s="254"/>
      <c r="T463" s="254"/>
      <c r="U463" s="254"/>
      <c r="V463" s="254"/>
    </row>
    <row r="464" spans="2:22" s="241" customFormat="1">
      <c r="B464" s="252"/>
      <c r="P464" s="253"/>
      <c r="S464" s="254"/>
      <c r="T464" s="254"/>
      <c r="U464" s="254"/>
      <c r="V464" s="254"/>
    </row>
    <row r="465" spans="2:22" s="241" customFormat="1">
      <c r="S465" s="254"/>
      <c r="T465" s="254"/>
      <c r="U465" s="254"/>
      <c r="V465" s="254"/>
    </row>
    <row r="466" spans="2:22" s="241" customFormat="1">
      <c r="S466" s="254"/>
      <c r="T466" s="254"/>
      <c r="U466" s="254"/>
      <c r="V466" s="254"/>
    </row>
    <row r="467" spans="2:22" s="241" customFormat="1">
      <c r="B467" s="252"/>
      <c r="P467" s="253"/>
      <c r="S467" s="254"/>
      <c r="T467" s="254"/>
      <c r="U467" s="254"/>
      <c r="V467" s="254"/>
    </row>
    <row r="468" spans="2:22" s="241" customFormat="1">
      <c r="S468" s="254"/>
      <c r="T468" s="254"/>
      <c r="U468" s="254"/>
      <c r="V468" s="254"/>
    </row>
    <row r="469" spans="2:22" s="241" customFormat="1">
      <c r="S469" s="254"/>
      <c r="T469" s="254"/>
      <c r="U469" s="254"/>
      <c r="V469" s="254"/>
    </row>
    <row r="470" spans="2:22" s="241" customFormat="1">
      <c r="B470" s="252"/>
      <c r="P470" s="253"/>
      <c r="S470" s="254"/>
      <c r="T470" s="254"/>
      <c r="U470" s="254"/>
      <c r="V470" s="254"/>
    </row>
    <row r="471" spans="2:22" s="241" customFormat="1">
      <c r="S471" s="254"/>
      <c r="T471" s="254"/>
      <c r="U471" s="254"/>
      <c r="V471" s="254"/>
    </row>
    <row r="472" spans="2:22" s="241" customFormat="1">
      <c r="S472" s="254"/>
      <c r="T472" s="254"/>
      <c r="U472" s="254"/>
      <c r="V472" s="254"/>
    </row>
    <row r="473" spans="2:22" s="241" customFormat="1">
      <c r="B473" s="252"/>
      <c r="P473" s="253"/>
      <c r="S473" s="254"/>
      <c r="T473" s="254"/>
      <c r="U473" s="254"/>
      <c r="V473" s="254"/>
    </row>
    <row r="474" spans="2:22" s="241" customFormat="1">
      <c r="S474" s="254"/>
      <c r="T474" s="254"/>
      <c r="U474" s="254"/>
      <c r="V474" s="254"/>
    </row>
    <row r="475" spans="2:22" s="241" customFormat="1">
      <c r="S475" s="254"/>
      <c r="T475" s="254"/>
      <c r="U475" s="254"/>
      <c r="V475" s="254"/>
    </row>
    <row r="476" spans="2:22" s="241" customFormat="1">
      <c r="B476" s="252"/>
      <c r="P476" s="253"/>
      <c r="S476" s="254"/>
      <c r="T476" s="254"/>
      <c r="U476" s="254"/>
      <c r="V476" s="254"/>
    </row>
    <row r="477" spans="2:22" s="241" customFormat="1">
      <c r="S477" s="254"/>
      <c r="T477" s="254"/>
      <c r="U477" s="254"/>
      <c r="V477" s="254"/>
    </row>
    <row r="478" spans="2:22" s="241" customFormat="1">
      <c r="S478" s="254"/>
      <c r="T478" s="254"/>
      <c r="U478" s="254"/>
      <c r="V478" s="254"/>
    </row>
    <row r="479" spans="2:22" s="241" customFormat="1">
      <c r="B479" s="252"/>
      <c r="P479" s="253"/>
      <c r="S479" s="254"/>
      <c r="T479" s="254"/>
      <c r="U479" s="254"/>
      <c r="V479" s="254"/>
    </row>
    <row r="480" spans="2:22" s="241" customFormat="1">
      <c r="S480" s="254"/>
      <c r="T480" s="254"/>
      <c r="U480" s="254"/>
      <c r="V480" s="254"/>
    </row>
    <row r="481" spans="2:22" s="241" customFormat="1">
      <c r="S481" s="254"/>
      <c r="T481" s="254"/>
      <c r="U481" s="254"/>
      <c r="V481" s="254"/>
    </row>
    <row r="482" spans="2:22" s="241" customFormat="1">
      <c r="B482" s="252"/>
      <c r="P482" s="253"/>
      <c r="S482" s="254"/>
      <c r="T482" s="254"/>
      <c r="U482" s="254"/>
      <c r="V482" s="254"/>
    </row>
    <row r="483" spans="2:22" s="241" customFormat="1">
      <c r="S483" s="254"/>
      <c r="T483" s="254"/>
      <c r="U483" s="254"/>
      <c r="V483" s="254"/>
    </row>
    <row r="484" spans="2:22" s="241" customFormat="1">
      <c r="S484" s="254"/>
      <c r="T484" s="254"/>
      <c r="U484" s="254"/>
      <c r="V484" s="254"/>
    </row>
    <row r="485" spans="2:22" s="241" customFormat="1">
      <c r="B485" s="252"/>
      <c r="P485" s="253"/>
      <c r="S485" s="254"/>
      <c r="T485" s="254"/>
      <c r="U485" s="254"/>
      <c r="V485" s="254"/>
    </row>
    <row r="486" spans="2:22" s="241" customFormat="1">
      <c r="S486" s="254"/>
      <c r="T486" s="254"/>
      <c r="U486" s="254"/>
      <c r="V486" s="254"/>
    </row>
    <row r="487" spans="2:22" s="241" customFormat="1">
      <c r="S487" s="254"/>
      <c r="T487" s="254"/>
      <c r="U487" s="254"/>
      <c r="V487" s="254"/>
    </row>
    <row r="488" spans="2:22" s="241" customFormat="1">
      <c r="B488" s="252"/>
      <c r="P488" s="253"/>
      <c r="S488" s="254"/>
      <c r="T488" s="254"/>
      <c r="U488" s="254"/>
      <c r="V488" s="254"/>
    </row>
    <row r="489" spans="2:22" s="241" customFormat="1">
      <c r="S489" s="254"/>
      <c r="T489" s="254"/>
      <c r="U489" s="254"/>
      <c r="V489" s="254"/>
    </row>
    <row r="490" spans="2:22" s="241" customFormat="1">
      <c r="S490" s="254"/>
      <c r="T490" s="254"/>
      <c r="U490" s="254"/>
      <c r="V490" s="254"/>
    </row>
    <row r="491" spans="2:22" s="241" customFormat="1">
      <c r="B491" s="252"/>
      <c r="P491" s="253"/>
      <c r="S491" s="254"/>
      <c r="T491" s="254"/>
      <c r="U491" s="254"/>
      <c r="V491" s="254"/>
    </row>
    <row r="492" spans="2:22" s="241" customFormat="1">
      <c r="S492" s="254"/>
      <c r="T492" s="254"/>
      <c r="U492" s="254"/>
      <c r="V492" s="254"/>
    </row>
    <row r="493" spans="2:22" s="241" customFormat="1">
      <c r="S493" s="254"/>
      <c r="T493" s="254"/>
      <c r="U493" s="254"/>
      <c r="V493" s="254"/>
    </row>
    <row r="494" spans="2:22" s="241" customFormat="1">
      <c r="B494" s="252"/>
      <c r="P494" s="253"/>
      <c r="S494" s="254"/>
      <c r="T494" s="254"/>
      <c r="U494" s="254"/>
      <c r="V494" s="254"/>
    </row>
    <row r="495" spans="2:22" s="241" customFormat="1">
      <c r="S495" s="254"/>
      <c r="T495" s="254"/>
      <c r="U495" s="254"/>
      <c r="V495" s="254"/>
    </row>
    <row r="496" spans="2:22" s="241" customFormat="1">
      <c r="S496" s="254"/>
      <c r="T496" s="254"/>
      <c r="U496" s="254"/>
      <c r="V496" s="254"/>
    </row>
    <row r="497" spans="2:22" s="241" customFormat="1">
      <c r="B497" s="252"/>
      <c r="P497" s="253"/>
      <c r="S497" s="254"/>
      <c r="T497" s="254"/>
      <c r="U497" s="254"/>
      <c r="V497" s="254"/>
    </row>
    <row r="498" spans="2:22" s="241" customFormat="1">
      <c r="S498" s="254"/>
      <c r="T498" s="254"/>
      <c r="U498" s="254"/>
      <c r="V498" s="254"/>
    </row>
    <row r="499" spans="2:22" s="241" customFormat="1">
      <c r="S499" s="254"/>
      <c r="T499" s="254"/>
      <c r="U499" s="254"/>
      <c r="V499" s="254"/>
    </row>
    <row r="500" spans="2:22" s="241" customFormat="1">
      <c r="B500" s="252"/>
      <c r="P500" s="253"/>
      <c r="S500" s="254"/>
      <c r="T500" s="254"/>
      <c r="U500" s="254"/>
      <c r="V500" s="254"/>
    </row>
    <row r="501" spans="2:22" s="241" customFormat="1">
      <c r="S501" s="254"/>
      <c r="T501" s="254"/>
      <c r="U501" s="254"/>
      <c r="V501" s="254"/>
    </row>
    <row r="502" spans="2:22" s="241" customFormat="1">
      <c r="S502" s="254"/>
      <c r="T502" s="254"/>
      <c r="U502" s="254"/>
      <c r="V502" s="254"/>
    </row>
    <row r="503" spans="2:22" s="241" customFormat="1">
      <c r="B503" s="252"/>
      <c r="P503" s="253"/>
      <c r="S503" s="254"/>
      <c r="T503" s="254"/>
      <c r="U503" s="254"/>
      <c r="V503" s="254"/>
    </row>
    <row r="504" spans="2:22" s="241" customFormat="1">
      <c r="S504" s="254"/>
      <c r="T504" s="254"/>
      <c r="U504" s="254"/>
      <c r="V504" s="254"/>
    </row>
    <row r="505" spans="2:22" s="241" customFormat="1">
      <c r="S505" s="254"/>
      <c r="T505" s="254"/>
      <c r="U505" s="254"/>
      <c r="V505" s="254"/>
    </row>
    <row r="506" spans="2:22" s="241" customFormat="1">
      <c r="B506" s="252"/>
      <c r="P506" s="253"/>
      <c r="S506" s="254"/>
      <c r="T506" s="254"/>
      <c r="U506" s="254"/>
      <c r="V506" s="254"/>
    </row>
    <row r="507" spans="2:22" s="241" customFormat="1">
      <c r="S507" s="254"/>
      <c r="T507" s="254"/>
      <c r="U507" s="254"/>
      <c r="V507" s="254"/>
    </row>
    <row r="508" spans="2:22" s="241" customFormat="1">
      <c r="S508" s="254"/>
      <c r="T508" s="254"/>
      <c r="U508" s="254"/>
      <c r="V508" s="254"/>
    </row>
    <row r="509" spans="2:22" s="241" customFormat="1">
      <c r="B509" s="252"/>
      <c r="P509" s="253"/>
      <c r="S509" s="254"/>
      <c r="T509" s="254"/>
      <c r="U509" s="254"/>
      <c r="V509" s="254"/>
    </row>
    <row r="510" spans="2:22" s="241" customFormat="1">
      <c r="S510" s="254"/>
      <c r="T510" s="254"/>
      <c r="U510" s="254"/>
      <c r="V510" s="254"/>
    </row>
    <row r="511" spans="2:22" s="241" customFormat="1">
      <c r="S511" s="254"/>
      <c r="T511" s="254"/>
      <c r="U511" s="254"/>
      <c r="V511" s="254"/>
    </row>
    <row r="512" spans="2:22" s="241" customFormat="1">
      <c r="B512" s="252"/>
      <c r="P512" s="253"/>
      <c r="S512" s="254"/>
      <c r="T512" s="254"/>
      <c r="U512" s="254"/>
      <c r="V512" s="254"/>
    </row>
    <row r="513" spans="2:22" s="241" customFormat="1">
      <c r="S513" s="254"/>
      <c r="T513" s="254"/>
      <c r="U513" s="254"/>
      <c r="V513" s="254"/>
    </row>
    <row r="514" spans="2:22" s="241" customFormat="1">
      <c r="S514" s="254"/>
      <c r="T514" s="254"/>
      <c r="U514" s="254"/>
      <c r="V514" s="254"/>
    </row>
    <row r="515" spans="2:22" s="241" customFormat="1">
      <c r="B515" s="252"/>
      <c r="P515" s="253"/>
      <c r="S515" s="254"/>
      <c r="T515" s="254"/>
      <c r="U515" s="254"/>
      <c r="V515" s="254"/>
    </row>
    <row r="516" spans="2:22" s="241" customFormat="1">
      <c r="S516" s="254"/>
      <c r="T516" s="254"/>
      <c r="U516" s="254"/>
      <c r="V516" s="254"/>
    </row>
    <row r="517" spans="2:22" s="241" customFormat="1">
      <c r="S517" s="254"/>
      <c r="T517" s="254"/>
      <c r="U517" s="254"/>
      <c r="V517" s="254"/>
    </row>
    <row r="518" spans="2:22" s="241" customFormat="1">
      <c r="B518" s="252"/>
      <c r="P518" s="253"/>
      <c r="S518" s="254"/>
      <c r="T518" s="254"/>
      <c r="U518" s="254"/>
      <c r="V518" s="254"/>
    </row>
    <row r="519" spans="2:22" s="241" customFormat="1">
      <c r="S519" s="254"/>
      <c r="T519" s="254"/>
      <c r="U519" s="254"/>
      <c r="V519" s="254"/>
    </row>
    <row r="520" spans="2:22" s="241" customFormat="1">
      <c r="S520" s="254"/>
      <c r="T520" s="254"/>
      <c r="U520" s="254"/>
      <c r="V520" s="254"/>
    </row>
    <row r="521" spans="2:22" s="241" customFormat="1">
      <c r="B521" s="252"/>
      <c r="P521" s="253"/>
      <c r="S521" s="254"/>
      <c r="T521" s="254"/>
      <c r="U521" s="254"/>
      <c r="V521" s="254"/>
    </row>
    <row r="522" spans="2:22" s="241" customFormat="1">
      <c r="S522" s="254"/>
      <c r="T522" s="254"/>
      <c r="U522" s="254"/>
      <c r="V522" s="254"/>
    </row>
    <row r="523" spans="2:22" s="241" customFormat="1">
      <c r="S523" s="254"/>
      <c r="T523" s="254"/>
      <c r="U523" s="254"/>
      <c r="V523" s="254"/>
    </row>
    <row r="524" spans="2:22" s="241" customFormat="1">
      <c r="B524" s="252"/>
      <c r="P524" s="253"/>
      <c r="S524" s="254"/>
      <c r="T524" s="254"/>
      <c r="U524" s="254"/>
      <c r="V524" s="254"/>
    </row>
    <row r="525" spans="2:22" s="241" customFormat="1">
      <c r="S525" s="254"/>
      <c r="T525" s="254"/>
      <c r="U525" s="254"/>
      <c r="V525" s="254"/>
    </row>
    <row r="526" spans="2:22" s="241" customFormat="1">
      <c r="S526" s="254"/>
      <c r="T526" s="254"/>
      <c r="U526" s="254"/>
      <c r="V526" s="254"/>
    </row>
    <row r="527" spans="2:22" s="241" customFormat="1">
      <c r="B527" s="252"/>
      <c r="P527" s="253"/>
      <c r="S527" s="254"/>
      <c r="T527" s="254"/>
      <c r="U527" s="254"/>
      <c r="V527" s="254"/>
    </row>
    <row r="528" spans="2:22" s="241" customFormat="1">
      <c r="S528" s="254"/>
      <c r="T528" s="254"/>
      <c r="U528" s="254"/>
      <c r="V528" s="254"/>
    </row>
    <row r="529" spans="2:22" s="241" customFormat="1">
      <c r="S529" s="254"/>
      <c r="T529" s="254"/>
      <c r="U529" s="254"/>
      <c r="V529" s="254"/>
    </row>
    <row r="530" spans="2:22" s="241" customFormat="1">
      <c r="B530" s="252"/>
      <c r="P530" s="253"/>
      <c r="S530" s="254"/>
      <c r="T530" s="254"/>
      <c r="U530" s="254"/>
      <c r="V530" s="254"/>
    </row>
    <row r="531" spans="2:22" s="241" customFormat="1">
      <c r="S531" s="254"/>
      <c r="T531" s="254"/>
      <c r="U531" s="254"/>
      <c r="V531" s="254"/>
    </row>
    <row r="532" spans="2:22" s="241" customFormat="1">
      <c r="S532" s="254"/>
      <c r="T532" s="254"/>
      <c r="U532" s="254"/>
      <c r="V532" s="254"/>
    </row>
    <row r="533" spans="2:22" s="241" customFormat="1">
      <c r="B533" s="252"/>
      <c r="P533" s="253"/>
      <c r="S533" s="254"/>
      <c r="T533" s="254"/>
      <c r="U533" s="254"/>
      <c r="V533" s="254"/>
    </row>
    <row r="534" spans="2:22" s="241" customFormat="1">
      <c r="S534" s="254"/>
      <c r="T534" s="254"/>
      <c r="U534" s="254"/>
      <c r="V534" s="254"/>
    </row>
    <row r="535" spans="2:22" s="241" customFormat="1">
      <c r="S535" s="254"/>
      <c r="T535" s="254"/>
      <c r="U535" s="254"/>
      <c r="V535" s="254"/>
    </row>
    <row r="536" spans="2:22" s="241" customFormat="1">
      <c r="B536" s="252"/>
      <c r="P536" s="253"/>
      <c r="S536" s="254"/>
      <c r="T536" s="254"/>
      <c r="U536" s="254"/>
      <c r="V536" s="254"/>
    </row>
    <row r="537" spans="2:22" s="241" customFormat="1">
      <c r="S537" s="254"/>
      <c r="T537" s="254"/>
      <c r="U537" s="254"/>
      <c r="V537" s="254"/>
    </row>
    <row r="538" spans="2:22" s="241" customFormat="1">
      <c r="S538" s="254"/>
      <c r="T538" s="254"/>
      <c r="U538" s="254"/>
      <c r="V538" s="254"/>
    </row>
    <row r="539" spans="2:22" s="241" customFormat="1">
      <c r="B539" s="252"/>
      <c r="P539" s="253"/>
      <c r="S539" s="254"/>
      <c r="T539" s="254"/>
      <c r="U539" s="254"/>
      <c r="V539" s="254"/>
    </row>
    <row r="540" spans="2:22" s="241" customFormat="1">
      <c r="S540" s="254"/>
      <c r="T540" s="254"/>
      <c r="U540" s="254"/>
      <c r="V540" s="254"/>
    </row>
    <row r="541" spans="2:22" s="241" customFormat="1">
      <c r="S541" s="254"/>
      <c r="T541" s="254"/>
      <c r="U541" s="254"/>
      <c r="V541" s="254"/>
    </row>
    <row r="542" spans="2:22" s="241" customFormat="1">
      <c r="B542" s="252"/>
      <c r="P542" s="253"/>
      <c r="S542" s="254"/>
      <c r="T542" s="254"/>
      <c r="U542" s="254"/>
      <c r="V542" s="254"/>
    </row>
    <row r="543" spans="2:22" s="241" customFormat="1">
      <c r="S543" s="254"/>
      <c r="T543" s="254"/>
      <c r="U543" s="254"/>
      <c r="V543" s="254"/>
    </row>
    <row r="544" spans="2:22" s="241" customFormat="1">
      <c r="S544" s="254"/>
      <c r="T544" s="254"/>
      <c r="U544" s="254"/>
      <c r="V544" s="254"/>
    </row>
    <row r="545" spans="2:22" s="241" customFormat="1">
      <c r="B545" s="252"/>
      <c r="P545" s="253"/>
      <c r="S545" s="254"/>
      <c r="T545" s="254"/>
      <c r="U545" s="254"/>
      <c r="V545" s="254"/>
    </row>
    <row r="546" spans="2:22" s="241" customFormat="1">
      <c r="S546" s="254"/>
      <c r="T546" s="254"/>
      <c r="U546" s="254"/>
      <c r="V546" s="254"/>
    </row>
    <row r="547" spans="2:22" s="241" customFormat="1">
      <c r="S547" s="254"/>
      <c r="T547" s="254"/>
      <c r="U547" s="254"/>
      <c r="V547" s="254"/>
    </row>
    <row r="548" spans="2:22" s="241" customFormat="1">
      <c r="B548" s="252"/>
      <c r="P548" s="253"/>
      <c r="S548" s="254"/>
      <c r="T548" s="254"/>
      <c r="U548" s="254"/>
      <c r="V548" s="254"/>
    </row>
    <row r="549" spans="2:22" s="241" customFormat="1">
      <c r="S549" s="254"/>
      <c r="T549" s="254"/>
      <c r="U549" s="254"/>
      <c r="V549" s="254"/>
    </row>
    <row r="550" spans="2:22" s="241" customFormat="1">
      <c r="S550" s="254"/>
      <c r="T550" s="254"/>
      <c r="U550" s="254"/>
      <c r="V550" s="254"/>
    </row>
    <row r="551" spans="2:22" s="241" customFormat="1">
      <c r="B551" s="252"/>
      <c r="P551" s="253"/>
      <c r="S551" s="254"/>
      <c r="T551" s="254"/>
      <c r="U551" s="254"/>
      <c r="V551" s="254"/>
    </row>
    <row r="552" spans="2:22" s="241" customFormat="1">
      <c r="S552" s="254"/>
      <c r="T552" s="254"/>
      <c r="U552" s="254"/>
      <c r="V552" s="254"/>
    </row>
    <row r="553" spans="2:22" s="241" customFormat="1">
      <c r="S553" s="254"/>
      <c r="T553" s="254"/>
      <c r="U553" s="254"/>
      <c r="V553" s="254"/>
    </row>
    <row r="554" spans="2:22" s="241" customFormat="1">
      <c r="B554" s="252"/>
      <c r="P554" s="253"/>
      <c r="S554" s="254"/>
      <c r="T554" s="254"/>
      <c r="U554" s="254"/>
      <c r="V554" s="254"/>
    </row>
    <row r="555" spans="2:22" s="241" customFormat="1">
      <c r="S555" s="254"/>
      <c r="T555" s="254"/>
      <c r="U555" s="254"/>
      <c r="V555" s="254"/>
    </row>
    <row r="556" spans="2:22" s="241" customFormat="1">
      <c r="S556" s="254"/>
      <c r="T556" s="254"/>
      <c r="U556" s="254"/>
      <c r="V556" s="254"/>
    </row>
    <row r="557" spans="2:22" s="241" customFormat="1">
      <c r="B557" s="252"/>
      <c r="P557" s="253"/>
      <c r="S557" s="254"/>
      <c r="T557" s="254"/>
      <c r="U557" s="254"/>
      <c r="V557" s="254"/>
    </row>
    <row r="558" spans="2:22" s="241" customFormat="1">
      <c r="S558" s="254"/>
      <c r="T558" s="254"/>
      <c r="U558" s="254"/>
      <c r="V558" s="254"/>
    </row>
    <row r="559" spans="2:22" s="241" customFormat="1">
      <c r="S559" s="254"/>
      <c r="T559" s="254"/>
      <c r="U559" s="254"/>
      <c r="V559" s="254"/>
    </row>
    <row r="560" spans="2:22" s="241" customFormat="1">
      <c r="B560" s="252"/>
      <c r="P560" s="253"/>
      <c r="S560" s="254"/>
      <c r="T560" s="254"/>
      <c r="U560" s="254"/>
      <c r="V560" s="254"/>
    </row>
    <row r="561" spans="2:22" s="241" customFormat="1">
      <c r="S561" s="254"/>
      <c r="T561" s="254"/>
      <c r="U561" s="254"/>
      <c r="V561" s="254"/>
    </row>
    <row r="562" spans="2:22" s="241" customFormat="1">
      <c r="S562" s="254"/>
      <c r="T562" s="254"/>
      <c r="U562" s="254"/>
      <c r="V562" s="254"/>
    </row>
    <row r="563" spans="2:22" s="241" customFormat="1">
      <c r="B563" s="252"/>
      <c r="P563" s="253"/>
      <c r="S563" s="254"/>
      <c r="T563" s="254"/>
      <c r="U563" s="254"/>
      <c r="V563" s="254"/>
    </row>
    <row r="564" spans="2:22" s="241" customFormat="1">
      <c r="S564" s="254"/>
      <c r="T564" s="254"/>
      <c r="U564" s="254"/>
      <c r="V564" s="254"/>
    </row>
    <row r="565" spans="2:22" s="241" customFormat="1">
      <c r="S565" s="254"/>
      <c r="T565" s="254"/>
      <c r="U565" s="254"/>
      <c r="V565" s="254"/>
    </row>
    <row r="566" spans="2:22" s="241" customFormat="1">
      <c r="B566" s="252"/>
      <c r="P566" s="253"/>
      <c r="S566" s="254"/>
      <c r="T566" s="254"/>
      <c r="U566" s="254"/>
      <c r="V566" s="254"/>
    </row>
    <row r="567" spans="2:22" s="241" customFormat="1">
      <c r="S567" s="254"/>
      <c r="T567" s="254"/>
      <c r="U567" s="254"/>
      <c r="V567" s="254"/>
    </row>
    <row r="568" spans="2:22" s="241" customFormat="1">
      <c r="S568" s="254"/>
      <c r="T568" s="254"/>
      <c r="U568" s="254"/>
      <c r="V568" s="254"/>
    </row>
    <row r="569" spans="2:22" s="241" customFormat="1">
      <c r="B569" s="252"/>
      <c r="P569" s="253"/>
      <c r="S569" s="254"/>
      <c r="T569" s="254"/>
      <c r="U569" s="254"/>
      <c r="V569" s="254"/>
    </row>
    <row r="570" spans="2:22" s="241" customFormat="1">
      <c r="S570" s="254"/>
      <c r="T570" s="254"/>
      <c r="U570" s="254"/>
      <c r="V570" s="254"/>
    </row>
    <row r="571" spans="2:22" s="241" customFormat="1">
      <c r="S571" s="254"/>
      <c r="T571" s="254"/>
      <c r="U571" s="254"/>
      <c r="V571" s="254"/>
    </row>
    <row r="572" spans="2:22" s="241" customFormat="1">
      <c r="B572" s="252"/>
      <c r="P572" s="253"/>
      <c r="S572" s="254"/>
      <c r="T572" s="254"/>
      <c r="U572" s="254"/>
      <c r="V572" s="254"/>
    </row>
    <row r="573" spans="2:22" s="241" customFormat="1">
      <c r="S573" s="254"/>
      <c r="T573" s="254"/>
      <c r="U573" s="254"/>
      <c r="V573" s="254"/>
    </row>
    <row r="574" spans="2:22" s="241" customFormat="1">
      <c r="S574" s="254"/>
      <c r="T574" s="254"/>
      <c r="U574" s="254"/>
      <c r="V574" s="254"/>
    </row>
    <row r="575" spans="2:22" s="241" customFormat="1">
      <c r="B575" s="252"/>
      <c r="P575" s="253"/>
      <c r="S575" s="254"/>
      <c r="T575" s="254"/>
      <c r="U575" s="254"/>
      <c r="V575" s="254"/>
    </row>
    <row r="576" spans="2:22" s="241" customFormat="1">
      <c r="S576" s="254"/>
      <c r="T576" s="254"/>
      <c r="U576" s="254"/>
      <c r="V576" s="254"/>
    </row>
    <row r="577" spans="2:22" s="241" customFormat="1">
      <c r="S577" s="254"/>
      <c r="T577" s="254"/>
      <c r="U577" s="254"/>
      <c r="V577" s="254"/>
    </row>
    <row r="578" spans="2:22" s="241" customFormat="1">
      <c r="B578" s="252"/>
      <c r="P578" s="253"/>
      <c r="S578" s="254"/>
      <c r="T578" s="254"/>
      <c r="U578" s="254"/>
      <c r="V578" s="254"/>
    </row>
    <row r="579" spans="2:22" s="241" customFormat="1">
      <c r="S579" s="254"/>
      <c r="T579" s="254"/>
      <c r="U579" s="254"/>
      <c r="V579" s="254"/>
    </row>
    <row r="580" spans="2:22" s="241" customFormat="1">
      <c r="S580" s="254"/>
      <c r="T580" s="254"/>
      <c r="U580" s="254"/>
      <c r="V580" s="254"/>
    </row>
    <row r="581" spans="2:22" s="241" customFormat="1">
      <c r="B581" s="252"/>
      <c r="P581" s="253"/>
      <c r="S581" s="254"/>
      <c r="T581" s="254"/>
      <c r="U581" s="254"/>
      <c r="V581" s="254"/>
    </row>
    <row r="582" spans="2:22" s="241" customFormat="1">
      <c r="S582" s="254"/>
      <c r="T582" s="254"/>
      <c r="U582" s="254"/>
      <c r="V582" s="254"/>
    </row>
    <row r="583" spans="2:22" s="241" customFormat="1">
      <c r="S583" s="254"/>
      <c r="T583" s="254"/>
      <c r="U583" s="254"/>
      <c r="V583" s="254"/>
    </row>
    <row r="584" spans="2:22" s="241" customFormat="1">
      <c r="B584" s="252"/>
      <c r="P584" s="253"/>
      <c r="S584" s="254"/>
      <c r="T584" s="254"/>
      <c r="U584" s="254"/>
      <c r="V584" s="254"/>
    </row>
    <row r="585" spans="2:22" s="241" customFormat="1">
      <c r="S585" s="254"/>
      <c r="T585" s="254"/>
      <c r="U585" s="254"/>
      <c r="V585" s="254"/>
    </row>
    <row r="586" spans="2:22" s="241" customFormat="1">
      <c r="S586" s="254"/>
      <c r="T586" s="254"/>
      <c r="U586" s="254"/>
      <c r="V586" s="254"/>
    </row>
    <row r="587" spans="2:22" s="241" customFormat="1">
      <c r="B587" s="252"/>
      <c r="P587" s="253"/>
      <c r="S587" s="254"/>
      <c r="T587" s="254"/>
      <c r="U587" s="254"/>
      <c r="V587" s="254"/>
    </row>
    <row r="588" spans="2:22" s="241" customFormat="1">
      <c r="S588" s="254"/>
      <c r="T588" s="254"/>
      <c r="U588" s="254"/>
      <c r="V588" s="254"/>
    </row>
    <row r="589" spans="2:22" s="241" customFormat="1">
      <c r="S589" s="254"/>
      <c r="T589" s="254"/>
      <c r="U589" s="254"/>
      <c r="V589" s="254"/>
    </row>
    <row r="590" spans="2:22" s="241" customFormat="1">
      <c r="B590" s="252"/>
      <c r="P590" s="253"/>
      <c r="S590" s="254"/>
      <c r="T590" s="254"/>
      <c r="U590" s="254"/>
      <c r="V590" s="254"/>
    </row>
    <row r="591" spans="2:22" s="241" customFormat="1">
      <c r="S591" s="254"/>
      <c r="T591" s="254"/>
      <c r="U591" s="254"/>
      <c r="V591" s="254"/>
    </row>
    <row r="592" spans="2:22" s="241" customFormat="1">
      <c r="S592" s="254"/>
      <c r="T592" s="254"/>
      <c r="U592" s="254"/>
      <c r="V592" s="254"/>
    </row>
    <row r="593" spans="2:22" s="241" customFormat="1">
      <c r="B593" s="252"/>
      <c r="P593" s="253"/>
      <c r="S593" s="254"/>
      <c r="T593" s="254"/>
      <c r="U593" s="254"/>
      <c r="V593" s="254"/>
    </row>
    <row r="594" spans="2:22" s="241" customFormat="1">
      <c r="S594" s="254"/>
      <c r="T594" s="254"/>
      <c r="U594" s="254"/>
      <c r="V594" s="254"/>
    </row>
    <row r="595" spans="2:22" s="241" customFormat="1">
      <c r="S595" s="254"/>
      <c r="T595" s="254"/>
      <c r="U595" s="254"/>
      <c r="V595" s="254"/>
    </row>
    <row r="596" spans="2:22" s="241" customFormat="1">
      <c r="B596" s="252"/>
      <c r="P596" s="253"/>
      <c r="S596" s="254"/>
      <c r="T596" s="254"/>
      <c r="U596" s="254"/>
      <c r="V596" s="254"/>
    </row>
    <row r="597" spans="2:22" s="241" customFormat="1">
      <c r="S597" s="254"/>
      <c r="T597" s="254"/>
      <c r="U597" s="254"/>
      <c r="V597" s="254"/>
    </row>
    <row r="598" spans="2:22" s="241" customFormat="1">
      <c r="S598" s="254"/>
      <c r="T598" s="254"/>
      <c r="U598" s="254"/>
      <c r="V598" s="254"/>
    </row>
    <row r="599" spans="2:22" s="241" customFormat="1">
      <c r="B599" s="252"/>
      <c r="P599" s="253"/>
      <c r="S599" s="254"/>
      <c r="T599" s="254"/>
      <c r="U599" s="254"/>
      <c r="V599" s="254"/>
    </row>
    <row r="600" spans="2:22" s="241" customFormat="1">
      <c r="S600" s="254"/>
      <c r="T600" s="254"/>
      <c r="U600" s="254"/>
      <c r="V600" s="254"/>
    </row>
    <row r="601" spans="2:22" s="241" customFormat="1">
      <c r="S601" s="254"/>
      <c r="T601" s="254"/>
      <c r="U601" s="254"/>
      <c r="V601" s="254"/>
    </row>
    <row r="602" spans="2:22" s="241" customFormat="1">
      <c r="B602" s="252"/>
      <c r="P602" s="253"/>
      <c r="S602" s="254"/>
      <c r="T602" s="254"/>
      <c r="U602" s="254"/>
      <c r="V602" s="254"/>
    </row>
    <row r="603" spans="2:22" s="241" customFormat="1">
      <c r="S603" s="254"/>
      <c r="T603" s="254"/>
      <c r="U603" s="254"/>
      <c r="V603" s="254"/>
    </row>
    <row r="604" spans="2:22" s="241" customFormat="1">
      <c r="S604" s="254"/>
      <c r="T604" s="254"/>
      <c r="U604" s="254"/>
      <c r="V604" s="254"/>
    </row>
    <row r="605" spans="2:22" s="241" customFormat="1">
      <c r="B605" s="252"/>
      <c r="P605" s="253"/>
      <c r="S605" s="254"/>
      <c r="T605" s="254"/>
      <c r="U605" s="254"/>
      <c r="V605" s="254"/>
    </row>
    <row r="606" spans="2:22" s="241" customFormat="1">
      <c r="S606" s="254"/>
      <c r="T606" s="254"/>
      <c r="U606" s="254"/>
      <c r="V606" s="254"/>
    </row>
    <row r="607" spans="2:22" s="241" customFormat="1">
      <c r="S607" s="254"/>
      <c r="T607" s="254"/>
      <c r="U607" s="254"/>
      <c r="V607" s="254"/>
    </row>
    <row r="608" spans="2:22" s="241" customFormat="1">
      <c r="B608" s="252"/>
      <c r="P608" s="253"/>
      <c r="S608" s="254"/>
      <c r="T608" s="254"/>
      <c r="U608" s="254"/>
      <c r="V608" s="254"/>
    </row>
    <row r="609" spans="2:22" s="241" customFormat="1">
      <c r="S609" s="254"/>
      <c r="T609" s="254"/>
      <c r="U609" s="254"/>
      <c r="V609" s="254"/>
    </row>
    <row r="610" spans="2:22" s="241" customFormat="1">
      <c r="S610" s="254"/>
      <c r="T610" s="254"/>
      <c r="U610" s="254"/>
      <c r="V610" s="254"/>
    </row>
    <row r="611" spans="2:22" s="241" customFormat="1">
      <c r="B611" s="252"/>
      <c r="P611" s="253"/>
      <c r="S611" s="254"/>
      <c r="T611" s="254"/>
      <c r="U611" s="254"/>
      <c r="V611" s="254"/>
    </row>
    <row r="612" spans="2:22" s="241" customFormat="1">
      <c r="S612" s="254"/>
      <c r="T612" s="254"/>
      <c r="U612" s="254"/>
      <c r="V612" s="254"/>
    </row>
    <row r="613" spans="2:22" s="241" customFormat="1">
      <c r="S613" s="254"/>
      <c r="T613" s="254"/>
      <c r="U613" s="254"/>
      <c r="V613" s="254"/>
    </row>
    <row r="614" spans="2:22" s="241" customFormat="1">
      <c r="B614" s="252"/>
      <c r="P614" s="253"/>
      <c r="S614" s="254"/>
      <c r="T614" s="254"/>
      <c r="U614" s="254"/>
      <c r="V614" s="254"/>
    </row>
    <row r="615" spans="2:22" s="241" customFormat="1">
      <c r="S615" s="254"/>
      <c r="T615" s="254"/>
      <c r="U615" s="254"/>
      <c r="V615" s="254"/>
    </row>
    <row r="616" spans="2:22" s="241" customFormat="1">
      <c r="S616" s="254"/>
      <c r="T616" s="254"/>
      <c r="U616" s="254"/>
      <c r="V616" s="254"/>
    </row>
    <row r="617" spans="2:22" s="241" customFormat="1">
      <c r="B617" s="252"/>
      <c r="P617" s="253"/>
      <c r="S617" s="254"/>
      <c r="T617" s="254"/>
      <c r="U617" s="254"/>
      <c r="V617" s="254"/>
    </row>
    <row r="618" spans="2:22" s="241" customFormat="1"/>
    <row r="619" spans="2:22" s="241" customFormat="1"/>
    <row r="620" spans="2:22" s="241" customFormat="1"/>
    <row r="621" spans="2:22" s="241" customFormat="1"/>
    <row r="622" spans="2:22" s="241" customFormat="1"/>
    <row r="623" spans="2:22" s="241" customFormat="1"/>
    <row r="624" spans="2:22" s="241" customFormat="1"/>
    <row r="625" s="241" customFormat="1"/>
    <row r="626" s="241" customFormat="1"/>
    <row r="627" s="241" customFormat="1"/>
    <row r="628" s="241" customFormat="1"/>
    <row r="629" s="241" customFormat="1"/>
    <row r="630" s="241" customFormat="1"/>
    <row r="631" s="241" customFormat="1"/>
    <row r="632" s="241" customFormat="1"/>
    <row r="633" s="241" customFormat="1"/>
    <row r="634" s="241" customFormat="1"/>
    <row r="635" s="241" customFormat="1"/>
    <row r="636" s="241" customFormat="1"/>
    <row r="637" s="241" customFormat="1"/>
    <row r="638" s="241" customFormat="1"/>
    <row r="639" s="241" customFormat="1"/>
    <row r="640" s="241" customFormat="1"/>
    <row r="641" s="241" customFormat="1"/>
    <row r="642" s="241" customFormat="1"/>
    <row r="643" s="241" customFormat="1"/>
    <row r="644" s="241" customFormat="1"/>
    <row r="645" s="241" customFormat="1"/>
    <row r="646" s="241" customFormat="1"/>
    <row r="647" s="241" customFormat="1"/>
    <row r="648" s="241" customFormat="1"/>
    <row r="649" s="241" customFormat="1"/>
    <row r="650" s="241" customFormat="1"/>
    <row r="651" s="241" customFormat="1"/>
    <row r="652" s="241" customFormat="1"/>
    <row r="653" s="241" customFormat="1"/>
    <row r="654" s="241" customFormat="1"/>
    <row r="655" s="241" customFormat="1"/>
    <row r="656" s="241" customFormat="1"/>
    <row r="657" s="241" customFormat="1"/>
    <row r="658" s="241" customFormat="1"/>
    <row r="659" s="241" customFormat="1"/>
    <row r="660" s="241" customFormat="1"/>
    <row r="661" s="241" customFormat="1"/>
    <row r="662" s="241" customFormat="1"/>
    <row r="663" s="241" customFormat="1"/>
    <row r="664" s="241" customFormat="1"/>
    <row r="665" s="241" customFormat="1"/>
    <row r="666" s="241" customFormat="1"/>
    <row r="667" s="241" customFormat="1"/>
    <row r="668" s="241" customFormat="1"/>
    <row r="669" s="241" customFormat="1"/>
    <row r="670" s="241" customFormat="1"/>
    <row r="671" s="241" customFormat="1"/>
    <row r="672" s="241" customFormat="1"/>
    <row r="673" s="241" customFormat="1"/>
    <row r="674" s="241" customFormat="1"/>
    <row r="675" s="241" customFormat="1"/>
    <row r="676" s="241" customFormat="1"/>
    <row r="677" s="241" customFormat="1"/>
    <row r="678" s="241" customFormat="1"/>
    <row r="679" s="241" customFormat="1"/>
    <row r="680" s="241" customFormat="1"/>
    <row r="681" s="241" customFormat="1"/>
    <row r="682" s="241" customFormat="1"/>
    <row r="683" s="241" customFormat="1"/>
    <row r="684" s="241" customFormat="1"/>
    <row r="685" s="241" customFormat="1"/>
    <row r="686" s="241" customFormat="1"/>
    <row r="687" s="241" customFormat="1"/>
    <row r="688" s="241" customFormat="1"/>
    <row r="689" s="241" customFormat="1"/>
    <row r="690" s="241" customFormat="1"/>
    <row r="691" s="241" customFormat="1"/>
    <row r="692" s="241" customFormat="1"/>
    <row r="693" s="241" customFormat="1"/>
    <row r="694" s="241" customFormat="1"/>
    <row r="695" s="241" customFormat="1"/>
    <row r="696" s="241" customFormat="1"/>
    <row r="697" s="241" customFormat="1"/>
    <row r="698" s="241" customFormat="1"/>
    <row r="699" s="241" customFormat="1"/>
    <row r="700" s="241" customFormat="1"/>
    <row r="701" s="241" customFormat="1"/>
    <row r="702" s="241" customFormat="1"/>
    <row r="703" s="241" customFormat="1"/>
    <row r="704" s="241" customFormat="1"/>
    <row r="705" s="241" customFormat="1"/>
    <row r="706" s="241" customFormat="1"/>
    <row r="707" s="241" customFormat="1"/>
    <row r="708" s="241" customFormat="1"/>
    <row r="709" s="241" customFormat="1"/>
    <row r="710" s="241" customFormat="1"/>
    <row r="711" s="241" customFormat="1"/>
    <row r="712" s="241" customFormat="1"/>
    <row r="713" s="241" customFormat="1"/>
    <row r="714" s="241" customFormat="1"/>
    <row r="715" s="241" customFormat="1"/>
    <row r="716" s="241" customFormat="1"/>
    <row r="717" s="241" customFormat="1"/>
    <row r="718" s="241" customFormat="1"/>
    <row r="719" s="241" customFormat="1"/>
    <row r="720" s="241" customFormat="1"/>
    <row r="721" s="241" customFormat="1"/>
    <row r="722" s="241" customFormat="1"/>
    <row r="723" s="241" customFormat="1"/>
    <row r="724" s="241" customFormat="1"/>
    <row r="725" s="241" customFormat="1"/>
    <row r="726" s="241" customFormat="1"/>
    <row r="727" s="241" customFormat="1"/>
    <row r="728" s="241" customFormat="1"/>
    <row r="729" s="241" customFormat="1"/>
    <row r="730" s="241" customFormat="1"/>
    <row r="731" s="241" customFormat="1"/>
    <row r="732" s="241" customFormat="1"/>
    <row r="733" s="241" customFormat="1"/>
    <row r="734" s="241" customFormat="1"/>
    <row r="735" s="241" customFormat="1"/>
    <row r="736" s="241" customFormat="1"/>
    <row r="737" s="241" customFormat="1"/>
    <row r="738" s="241" customFormat="1"/>
    <row r="739" s="241" customFormat="1"/>
    <row r="740" s="241" customFormat="1"/>
    <row r="741" s="241" customFormat="1"/>
    <row r="742" s="241" customFormat="1"/>
    <row r="743" s="241" customFormat="1"/>
    <row r="744" s="241" customFormat="1"/>
    <row r="745" s="241" customFormat="1"/>
    <row r="746" s="241" customFormat="1"/>
    <row r="747" s="241" customFormat="1"/>
    <row r="748" s="241" customFormat="1"/>
    <row r="749" s="241" customFormat="1"/>
    <row r="750" s="241" customFormat="1"/>
    <row r="751" s="241" customFormat="1"/>
    <row r="752" s="241" customFormat="1"/>
    <row r="753" s="241" customFormat="1"/>
    <row r="754" s="241" customFormat="1"/>
    <row r="755" s="241" customFormat="1"/>
    <row r="756" s="241" customFormat="1"/>
    <row r="757" s="241" customFormat="1"/>
    <row r="758" s="241" customFormat="1"/>
    <row r="759" s="241" customFormat="1"/>
    <row r="760" s="241" customFormat="1"/>
    <row r="761" s="241" customFormat="1"/>
    <row r="762" s="241" customFormat="1"/>
    <row r="763" s="241" customFormat="1"/>
    <row r="764" s="241" customFormat="1"/>
    <row r="765" s="241" customFormat="1"/>
    <row r="766" s="241" customFormat="1"/>
    <row r="767" s="241" customFormat="1"/>
    <row r="768" s="241" customFormat="1"/>
    <row r="769" s="241" customFormat="1"/>
    <row r="770" s="241" customFormat="1"/>
    <row r="771" s="241" customFormat="1"/>
    <row r="772" s="241" customFormat="1"/>
    <row r="773" s="241" customFormat="1"/>
    <row r="774" s="241" customFormat="1"/>
    <row r="775" s="241" customFormat="1"/>
    <row r="776" s="241" customFormat="1"/>
    <row r="777" s="241" customFormat="1"/>
    <row r="778" s="241" customFormat="1"/>
    <row r="779" s="241" customFormat="1"/>
    <row r="780" s="241" customFormat="1"/>
    <row r="781" s="241" customFormat="1"/>
    <row r="782" s="241" customFormat="1"/>
    <row r="783" s="241" customFormat="1"/>
    <row r="784" s="241" customFormat="1"/>
    <row r="785" s="241" customFormat="1"/>
    <row r="786" s="241" customFormat="1"/>
    <row r="787" s="241" customFormat="1"/>
    <row r="788" s="241" customFormat="1"/>
    <row r="789" s="241" customFormat="1"/>
    <row r="790" s="241" customFormat="1"/>
    <row r="791" s="241" customFormat="1"/>
    <row r="792" s="241" customFormat="1"/>
    <row r="793" s="241" customFormat="1"/>
    <row r="794" s="241" customFormat="1"/>
    <row r="795" s="241" customFormat="1"/>
    <row r="796" s="241" customFormat="1"/>
    <row r="797" s="241" customFormat="1"/>
    <row r="798" s="241" customFormat="1"/>
    <row r="799" s="241" customFormat="1"/>
    <row r="800" s="241" customFormat="1"/>
    <row r="801" s="241" customFormat="1"/>
    <row r="802" s="241" customFormat="1"/>
    <row r="803" s="241" customFormat="1"/>
    <row r="804" s="241" customFormat="1"/>
    <row r="805" s="241" customFormat="1"/>
    <row r="806" s="241" customFormat="1"/>
    <row r="807" s="241" customFormat="1"/>
    <row r="808" s="241" customFormat="1"/>
    <row r="809" s="241" customFormat="1"/>
    <row r="810" s="241" customFormat="1"/>
    <row r="811" s="241" customFormat="1"/>
    <row r="812" s="241" customFormat="1"/>
    <row r="813" s="241" customFormat="1"/>
    <row r="814" s="241" customFormat="1"/>
    <row r="815" s="241" customFormat="1"/>
    <row r="816" s="241" customFormat="1"/>
    <row r="817" s="241" customFormat="1"/>
    <row r="818" s="241" customFormat="1"/>
    <row r="819" s="241" customFormat="1"/>
    <row r="820" s="241" customFormat="1"/>
    <row r="821" s="241" customFormat="1"/>
    <row r="822" s="241" customFormat="1"/>
    <row r="823" s="241" customFormat="1"/>
    <row r="824" s="241" customFormat="1"/>
    <row r="825" s="241" customFormat="1"/>
    <row r="826" s="241" customFormat="1"/>
    <row r="827" s="241" customFormat="1"/>
    <row r="828" s="241" customFormat="1"/>
    <row r="829" s="241" customFormat="1"/>
    <row r="830" s="241" customFormat="1"/>
    <row r="831" s="241" customFormat="1"/>
    <row r="832" s="241" customFormat="1"/>
    <row r="833" s="241" customFormat="1"/>
    <row r="834" s="241" customFormat="1"/>
    <row r="835" s="241" customFormat="1"/>
    <row r="836" s="241" customFormat="1"/>
    <row r="837" s="241" customFormat="1"/>
    <row r="838" s="241" customFormat="1"/>
    <row r="839" s="241" customFormat="1"/>
    <row r="840" s="241" customFormat="1"/>
    <row r="841" s="241" customFormat="1"/>
    <row r="842" s="241" customFormat="1"/>
    <row r="843" s="241" customFormat="1"/>
    <row r="844" s="241" customFormat="1"/>
    <row r="845" s="241" customFormat="1"/>
    <row r="846" s="241" customFormat="1"/>
    <row r="847" s="241" customFormat="1"/>
    <row r="848" s="241" customFormat="1"/>
    <row r="849" s="241" customFormat="1"/>
    <row r="850" s="241" customFormat="1"/>
    <row r="851" s="241" customFormat="1"/>
    <row r="852" s="241" customFormat="1"/>
    <row r="853" s="241" customFormat="1"/>
    <row r="854" s="241" customFormat="1"/>
    <row r="855" s="241" customFormat="1"/>
    <row r="856" s="241" customFormat="1"/>
    <row r="857" s="241" customFormat="1"/>
    <row r="858" s="241" customFormat="1"/>
    <row r="859" s="241" customFormat="1"/>
    <row r="860" s="241" customFormat="1"/>
    <row r="861" s="241" customFormat="1"/>
    <row r="862" s="241" customFormat="1"/>
    <row r="863" s="241" customFormat="1"/>
    <row r="864" s="241" customFormat="1"/>
    <row r="865" s="241" customFormat="1"/>
    <row r="866" s="241" customFormat="1"/>
    <row r="867" s="241" customFormat="1"/>
    <row r="868" s="241" customFormat="1"/>
    <row r="869" s="241" customFormat="1"/>
    <row r="870" s="241" customFormat="1"/>
    <row r="871" s="241" customFormat="1"/>
    <row r="872" s="241" customFormat="1"/>
    <row r="873" s="241" customFormat="1"/>
    <row r="874" s="241" customFormat="1"/>
    <row r="875" s="241" customFormat="1"/>
    <row r="876" s="241" customFormat="1"/>
    <row r="877" s="241" customFormat="1"/>
    <row r="878" s="241" customFormat="1"/>
    <row r="879" s="241" customFormat="1"/>
    <row r="880" s="241" customFormat="1"/>
    <row r="881" s="241" customFormat="1"/>
    <row r="882" s="241"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13A0741127C749B1B6B3C26451E677" ma:contentTypeVersion="21" ma:contentTypeDescription="Create a new document." ma:contentTypeScope="" ma:versionID="e93859161547a59c7d68e446d21cd40b">
  <xsd:schema xmlns:xsd="http://www.w3.org/2001/XMLSchema" xmlns:xs="http://www.w3.org/2001/XMLSchema" xmlns:p="http://schemas.microsoft.com/office/2006/metadata/properties" xmlns:ns1="06d4df2a-6fa3-4a05-9d79-89dd6a384175" targetNamespace="http://schemas.microsoft.com/office/2006/metadata/properties" ma:root="true" ma:fieldsID="82f9e0695d43b18497d129a131e9bd39" ns1:_="">
    <xsd:import namespace="06d4df2a-6fa3-4a05-9d79-89dd6a384175"/>
    <xsd:element name="properties">
      <xsd:complexType>
        <xsd:sequence>
          <xsd:element name="documentManagement">
            <xsd:complexType>
              <xsd:all>
                <xsd:element ref="ns1:Agency" minOccurs="0"/>
                <xsd:element ref="ns1:Coordinator" minOccurs="0"/>
                <xsd:element ref="ns1:Notes0" minOccurs="0"/>
                <xsd:element ref="ns1:PreProcess_x0020_Block" minOccurs="0"/>
                <xsd:element ref="ns1:State" minOccurs="0"/>
                <xsd:element ref="ns1:Survey" minOccurs="0"/>
                <xsd:element ref="ns1:Status" minOccurs="0"/>
                <xsd:element ref="ns1:TimesValidated" minOccurs="0"/>
                <xsd:element ref="ns1:Year" minOccurs="0"/>
                <xsd:element ref="ns1:upload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4df2a-6fa3-4a05-9d79-89dd6a384175" elementFormDefault="qualified">
    <xsd:import namespace="http://schemas.microsoft.com/office/2006/documentManagement/types"/>
    <xsd:import namespace="http://schemas.microsoft.com/office/infopath/2007/PartnerControls"/>
    <xsd:element name="Agency" ma:index="0" nillable="true" ma:displayName="Agency" ma:internalName="Agency">
      <xsd:simpleType>
        <xsd:restriction base="dms:Text">
          <xsd:maxLength value="255"/>
        </xsd:restriction>
      </xsd:simpleType>
    </xsd:element>
    <xsd:element name="Coordinator" ma:index="1" nillable="true" ma:displayName="Coordinator" ma:list="UserInfo" ma:SearchPeopleOnly="false" ma:SharePointGroup="0" ma:internalName="Coordin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0" ma:index="2" nillable="true" ma:displayName="Notes" ma:internalName="Notes0">
      <xsd:simpleType>
        <xsd:restriction base="dms:Note">
          <xsd:maxLength value="255"/>
        </xsd:restriction>
      </xsd:simpleType>
    </xsd:element>
    <xsd:element name="PreProcess_x0020_Block" ma:index="3" nillable="true" ma:displayName="PreProcess Block" ma:decimals="0" ma:default="0" ma:internalName="PreProcess_x0020_Block">
      <xsd:simpleType>
        <xsd:restriction base="dms:Number"/>
      </xsd:simpleType>
    </xsd:element>
    <xsd:element name="State" ma:index="4" nillable="true" ma:displayName="State" ma:internalName="State">
      <xsd:simpleType>
        <xsd:restriction base="dms:Text">
          <xsd:maxLength value="255"/>
        </xsd:restriction>
      </xsd:simpleType>
    </xsd:element>
    <xsd:element name="Survey" ma:index="5" nillable="true" ma:displayName="Survey" ma:default="01Degrees" ma:format="RadioButtons" ma:internalName="Survey">
      <xsd:simpleType>
        <xsd:restriction base="dms:Choice">
          <xsd:enumeration value="01Degrees"/>
          <xsd:enumeration value="02Progression"/>
          <xsd:enumeration value="03TimeToDegree"/>
          <xsd:enumeration value="04SCH_FTE"/>
          <xsd:enumeration value="05InstructionTypes"/>
          <xsd:enumeration value="06Funding"/>
          <xsd:enumeration value="07TuitionAndFees"/>
          <xsd:enumeration value="08TuitionAndFeesPolicies"/>
          <xsd:enumeration value="09Salaries"/>
        </xsd:restriction>
      </xsd:simpleType>
    </xsd:element>
    <xsd:element name="Status" ma:index="6" nillable="true" ma:displayName="Survey Status" ma:default="Template" ma:format="Dropdown" ma:internalName="Status">
      <xsd:simpleType>
        <xsd:restriction base="dms:Choice">
          <xsd:enumeration value="Template"/>
          <xsd:enumeration value="Uploaded"/>
          <xsd:enumeration value="Validated"/>
          <xsd:enumeration value="Revalidated"/>
          <xsd:enumeration value="Being Reviewed"/>
          <xsd:enumeration value="Final"/>
          <xsd:enumeration value="Import Error"/>
          <xsd:enumeration value="Validation Error"/>
        </xsd:restriction>
      </xsd:simpleType>
    </xsd:element>
    <xsd:element name="TimesValidated" ma:index="19" nillable="true" ma:displayName="TimesValidated" ma:decimals="0" ma:default="0" ma:internalName="TimesValidated">
      <xsd:simpleType>
        <xsd:restriction base="dms:Number"/>
      </xsd:simpleType>
    </xsd:element>
    <xsd:element name="Year" ma:index="20" nillable="true" ma:displayName="Year" ma:decimals="0" ma:internalName="Year">
      <xsd:simpleType>
        <xsd:restriction base="dms:Number">
          <xsd:maxInclusive value="9999"/>
          <xsd:minInclusive value="2000"/>
        </xsd:restriction>
      </xsd:simpleType>
    </xsd:element>
    <xsd:element name="upload_id" ma:index="23" nillable="true" ma:displayName="upload_id" ma:decimals="0" ma:description="latest upload_id" ma:internalName="upload_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e xmlns="06d4df2a-6fa3-4a05-9d79-89dd6a384175">AL</State>
    <Year xmlns="06d4df2a-6fa3-4a05-9d79-89dd6a384175">2018</Year>
    <Survey xmlns="06d4df2a-6fa3-4a05-9d79-89dd6a384175">05InstructionTypes</Survey>
    <TimesValidated xmlns="06d4df2a-6fa3-4a05-9d79-89dd6a384175">3</TimesValidated>
    <Agency xmlns="06d4df2a-6fa3-4a05-9d79-89dd6a384175">ACHE</Agency>
    <Coordinator xmlns="06d4df2a-6fa3-4a05-9d79-89dd6a384175">
      <UserInfo>
        <DisplayName>Subrena Simpkins</DisplayName>
        <AccountId>17</AccountId>
        <AccountType/>
      </UserInfo>
    </Coordinator>
    <Status xmlns="06d4df2a-6fa3-4a05-9d79-89dd6a384175">Final</Status>
    <Notes0 xmlns="06d4df2a-6fa3-4a05-9d79-89dd6a384175" xsi:nil="true"/>
    <PreProcess_x0020_Block xmlns="06d4df2a-6fa3-4a05-9d79-89dd6a384175">0</PreProcess_x0020_Block>
    <upload_id xmlns="06d4df2a-6fa3-4a05-9d79-89dd6a384175" xsi:nil="true"/>
  </documentManagement>
</p:properties>
</file>

<file path=customXml/itemProps1.xml><?xml version="1.0" encoding="utf-8"?>
<ds:datastoreItem xmlns:ds="http://schemas.openxmlformats.org/officeDocument/2006/customXml" ds:itemID="{8B7AA88C-85B1-4EA4-82BD-C86B09E1F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4df2a-6fa3-4a05-9d79-89dd6a384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D5A9B0-2913-4BEC-BE71-C8C341A9498F}">
  <ds:schemaRefs>
    <ds:schemaRef ds:uri="http://schemas.microsoft.com/sharepoint/v3/contenttype/forms"/>
  </ds:schemaRefs>
</ds:datastoreItem>
</file>

<file path=customXml/itemProps3.xml><?xml version="1.0" encoding="utf-8"?>
<ds:datastoreItem xmlns:ds="http://schemas.openxmlformats.org/officeDocument/2006/customXml" ds:itemID="{8D6DB363-0BE4-4B2A-922A-835295257B00}">
  <ds:schemaRef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06d4df2a-6fa3-4a05-9d79-89dd6a384175"/>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NEW...Tables 87-90</vt:lpstr>
      <vt:lpstr>OLD...Tables</vt:lpstr>
      <vt:lpstr>NEW...Tables 91-112</vt:lpstr>
      <vt:lpstr>OLD...Tabs</vt:lpstr>
      <vt:lpstr>Pivot Table for Data Exchange</vt:lpstr>
      <vt:lpstr>05InstructionTypes</vt:lpstr>
      <vt:lpstr>Format for DE pivot</vt:lpstr>
      <vt:lpstr>Summary Table for Fact Book</vt:lpstr>
      <vt:lpstr>Pivot Table for Fact Book</vt:lpstr>
      <vt:lpstr>Format for FB Pivot Tab</vt:lpstr>
      <vt:lpstr>'NEW...Tables 87-90'!Print_Area</vt:lpstr>
      <vt:lpstr>'NEW...Tables 91-112'!Print_Area</vt:lpstr>
      <vt:lpstr>OLD...Tables!Print_Area</vt:lpstr>
      <vt:lpstr>OLD...Tabs!Print_Area</vt:lpstr>
      <vt:lpstr>'05InstructionTypes'!Type13gr1_1</vt:lpstr>
      <vt:lpstr>'05InstructionTypes'!Type13gr1_2</vt:lpstr>
      <vt:lpstr>'05InstructionTypes'!Type13gr2_1</vt:lpstr>
      <vt:lpstr>'05InstructionTypes'!Type13gr2_2</vt:lpstr>
      <vt:lpstr>'05InstructionTypes'!Type13gr3_1</vt:lpstr>
      <vt:lpstr>'05InstructionTypes'!Type13gr3_2</vt:lpstr>
      <vt:lpstr>'05InstructionTypes'!Type13gr4_1</vt:lpstr>
      <vt:lpstr>'05InstructionTypes'!Type13gr4_2</vt:lpstr>
      <vt:lpstr>'05InstructionTypes'!Type13gr5_2</vt:lpstr>
      <vt:lpstr>'05InstructionTypes'!Type13gr5_3</vt:lpstr>
      <vt:lpstr>'05InstructionTypes'!Type13ug1_1</vt:lpstr>
      <vt:lpstr>'05InstructionTypes'!Type13ug1_2</vt:lpstr>
      <vt:lpstr>'05InstructionTypes'!Type13ug2_1</vt:lpstr>
      <vt:lpstr>'05InstructionTypes'!Type13ug2_2</vt:lpstr>
      <vt:lpstr>'05InstructionTypes'!Type13ug3_1</vt:lpstr>
      <vt:lpstr>'05InstructionTypes'!Type13ug3_2</vt:lpstr>
      <vt:lpstr>'05InstructionTypes'!Type13ug4_1</vt:lpstr>
      <vt:lpstr>'05InstructionTypes'!Type13ug4_2</vt:lpstr>
      <vt:lpstr>'05InstructionTypes'!Type13ug5_1</vt:lpstr>
      <vt:lpstr>'05InstructionTypes'!Type13ug5_2</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SREB</dc:creator>
  <cp:lastModifiedBy>Christiana Datubo-Brown</cp:lastModifiedBy>
  <cp:lastPrinted>2016-03-15T16:03:45Z</cp:lastPrinted>
  <dcterms:created xsi:type="dcterms:W3CDTF">2010-11-24T15:25:05Z</dcterms:created>
  <dcterms:modified xsi:type="dcterms:W3CDTF">2020-01-30T20:32:46Z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rvey">
    <vt:lpwstr>05InstructionTypes</vt:lpwstr>
  </property>
  <property fmtid="{D5CDD505-2E9C-101B-9397-08002B2CF9AE}" pid="3" name="Survey Status">
    <vt:lpwstr>Template</vt:lpwstr>
  </property>
  <property fmtid="{D5CDD505-2E9C-101B-9397-08002B2CF9AE}" pid="4" name="State">
    <vt:lpwstr>AL</vt:lpwstr>
  </property>
  <property fmtid="{D5CDD505-2E9C-101B-9397-08002B2CF9AE}" pid="5" name="Agency">
    <vt:lpwstr>ACHE</vt:lpwstr>
  </property>
  <property fmtid="{D5CDD505-2E9C-101B-9397-08002B2CF9AE}" pid="6" name="ContentTypeId">
    <vt:lpwstr>0x0101000F13A0741127C749B1B6B3C26451E677</vt:lpwstr>
  </property>
  <property fmtid="{D5CDD505-2E9C-101B-9397-08002B2CF9AE}" pid="7" name="WorkflowChangePath">
    <vt:lpwstr>133843d5-d372-4001-96eb-52efd1ea8343,2;133843d5-d372-4001-96eb-52efd1ea8343,2;133843d5-d372-4001-96eb-52efd1ea8343,2;eaa8b4b4-d670-43a5-acb7-15cc2bb80337,4;eaa8b4b4-d670-43a5-acb7-15cc2bb80337,4;133843d5-d372-4001-96eb-52efd1ea8343,5;133843d5-d372-4001-96</vt:lpwstr>
  </property>
</Properties>
</file>